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255" windowHeight="9180" tabRatio="749" activeTab="7"/>
  </bookViews>
  <sheets>
    <sheet name="Análisis de la pertinencia" sheetId="4" r:id="rId1"/>
    <sheet name="Analisis de los PE de posgrado" sheetId="5" r:id="rId2"/>
    <sheet name="Coopn académica (movilidad)" sheetId="6" r:id="rId3"/>
    <sheet name="Prpales Acciones de Vinculación" sheetId="9" r:id="rId4"/>
    <sheet name="Recom_CIEES-COPAES" sheetId="7" r:id="rId5"/>
    <sheet name="Resultados del EGEL" sheetId="8" r:id="rId6"/>
    <sheet name="Principales fortalezas" sheetId="11" r:id="rId7"/>
    <sheet name="Principales problemas" sheetId="10" r:id="rId8"/>
  </sheets>
  <definedNames>
    <definedName name="_xlnm.Print_Area" localSheetId="0">'Análisis de la pertinencia'!$A$1:$L$38</definedName>
    <definedName name="_xlnm.Print_Area" localSheetId="1">'Analisis de los PE de posgrado'!$A$1:$U$40</definedName>
    <definedName name="_xlnm.Print_Area" localSheetId="2">'Coopn académica (movilidad)'!$A$1:$V$32</definedName>
    <definedName name="_xlnm.Print_Area" localSheetId="7">'Principales problemas'!$A$1:$L$8</definedName>
    <definedName name="_xlnm.Print_Area" localSheetId="4">'Recom_CIEES-COPAES'!$A$1:$AK$88</definedName>
    <definedName name="_xlnm.Print_Area" localSheetId="5">'Resultados del EGEL'!$A$1:$E$110</definedName>
    <definedName name="_xlnm.Print_Titles" localSheetId="0">'Análisis de la pertinencia'!$1:$9</definedName>
    <definedName name="_xlnm.Print_Titles" localSheetId="1">'Analisis de los PE de posgrado'!$1:$10</definedName>
    <definedName name="_xlnm.Print_Titles" localSheetId="5">'Resultados del EGEL'!$1:$7</definedName>
  </definedNames>
  <calcPr calcId="145621"/>
</workbook>
</file>

<file path=xl/calcChain.xml><?xml version="1.0" encoding="utf-8"?>
<calcChain xmlns="http://schemas.openxmlformats.org/spreadsheetml/2006/main">
  <c r="B8" i="8" l="1"/>
  <c r="C8" i="8"/>
  <c r="D8" i="8"/>
  <c r="E8" i="8"/>
  <c r="E103" i="8" s="1"/>
  <c r="B9" i="8"/>
  <c r="C9" i="8"/>
  <c r="D9" i="8"/>
  <c r="E9" i="8"/>
  <c r="C10" i="8"/>
  <c r="D10" i="8"/>
  <c r="B10" i="8" s="1"/>
  <c r="E10" i="8"/>
  <c r="B12" i="8"/>
  <c r="E12" i="8"/>
  <c r="B15" i="8"/>
  <c r="C15" i="8"/>
  <c r="E15" i="8"/>
  <c r="B16" i="8"/>
  <c r="C16" i="8"/>
  <c r="D16" i="8"/>
  <c r="E16" i="8"/>
  <c r="D17" i="8"/>
  <c r="E17" i="8"/>
  <c r="B18" i="8"/>
  <c r="C18" i="8"/>
  <c r="D18" i="8"/>
  <c r="E18" i="8"/>
  <c r="B19" i="8"/>
  <c r="B20" i="8"/>
  <c r="C20" i="8"/>
  <c r="D20" i="8"/>
  <c r="E20" i="8"/>
  <c r="B21" i="8"/>
  <c r="C21" i="8"/>
  <c r="D21" i="8"/>
  <c r="E21" i="8"/>
  <c r="B22" i="8"/>
  <c r="D22" i="8"/>
  <c r="E22" i="8"/>
  <c r="B23" i="8"/>
  <c r="C23" i="8"/>
  <c r="D23" i="8"/>
  <c r="E23" i="8"/>
  <c r="B24" i="8"/>
  <c r="C24" i="8"/>
  <c r="D24" i="8"/>
  <c r="E24" i="8"/>
  <c r="B26" i="8"/>
  <c r="C26" i="8"/>
  <c r="D26" i="8"/>
  <c r="E26" i="8"/>
  <c r="B27" i="8"/>
  <c r="D27" i="8"/>
  <c r="E27" i="8"/>
  <c r="B28" i="8"/>
  <c r="C28" i="8"/>
  <c r="D28" i="8"/>
  <c r="E28" i="8"/>
  <c r="B29" i="8"/>
  <c r="C29" i="8"/>
  <c r="D29" i="8"/>
  <c r="E29" i="8"/>
  <c r="B30" i="8"/>
  <c r="C30" i="8"/>
  <c r="D30" i="8"/>
  <c r="E30" i="8"/>
  <c r="B35" i="8"/>
  <c r="D35" i="8"/>
  <c r="E35" i="8"/>
  <c r="B36" i="8"/>
  <c r="B37" i="8"/>
  <c r="C37" i="8"/>
  <c r="D37" i="8"/>
  <c r="E37" i="8"/>
  <c r="B38" i="8"/>
  <c r="C38" i="8"/>
  <c r="D38" i="8"/>
  <c r="E38" i="8"/>
  <c r="B39" i="8"/>
  <c r="C39" i="8"/>
  <c r="D39" i="8"/>
  <c r="E39" i="8"/>
  <c r="B40" i="8"/>
  <c r="C40" i="8"/>
  <c r="D40" i="8"/>
  <c r="E40" i="8"/>
  <c r="B41" i="8"/>
  <c r="C41" i="8"/>
  <c r="D41" i="8"/>
  <c r="E41" i="8"/>
  <c r="B43" i="8"/>
  <c r="C43" i="8"/>
  <c r="D43" i="8"/>
  <c r="E43" i="8"/>
  <c r="B46" i="8"/>
  <c r="C46" i="8"/>
  <c r="D46" i="8"/>
  <c r="E46" i="8"/>
  <c r="B49" i="8"/>
  <c r="C49" i="8"/>
  <c r="D49" i="8"/>
  <c r="E49" i="8"/>
  <c r="B50" i="8"/>
  <c r="C50" i="8"/>
  <c r="D50" i="8"/>
  <c r="E50" i="8"/>
  <c r="B52" i="8"/>
  <c r="C52" i="8"/>
  <c r="D52" i="8"/>
  <c r="E52" i="8"/>
  <c r="B53" i="8"/>
  <c r="C53" i="8"/>
  <c r="D53" i="8"/>
  <c r="E53" i="8"/>
  <c r="B54" i="8"/>
  <c r="C54" i="8"/>
  <c r="D54" i="8"/>
  <c r="E54" i="8"/>
  <c r="B55" i="8"/>
  <c r="C55" i="8"/>
  <c r="D55" i="8"/>
  <c r="E55" i="8"/>
  <c r="B56" i="8"/>
  <c r="C56" i="8"/>
  <c r="D56" i="8"/>
  <c r="E56" i="8"/>
  <c r="B57" i="8"/>
  <c r="C57" i="8"/>
  <c r="D57" i="8"/>
  <c r="E57" i="8"/>
  <c r="B58" i="8"/>
  <c r="C58" i="8"/>
  <c r="D58" i="8"/>
  <c r="E58" i="8"/>
  <c r="B59" i="8"/>
  <c r="B60" i="8"/>
  <c r="D60" i="8"/>
  <c r="E60" i="8"/>
  <c r="B61" i="8"/>
  <c r="B62" i="8"/>
  <c r="D62" i="8"/>
  <c r="E62" i="8"/>
  <c r="B63" i="8"/>
  <c r="B64" i="8"/>
  <c r="E64" i="8"/>
  <c r="B65" i="8"/>
  <c r="D65" i="8"/>
  <c r="E65" i="8"/>
  <c r="B68" i="8"/>
  <c r="D68" i="8"/>
  <c r="E68" i="8"/>
  <c r="B69" i="8"/>
  <c r="C69" i="8"/>
  <c r="D69" i="8"/>
  <c r="E69" i="8"/>
  <c r="C70" i="8"/>
  <c r="D70" i="8"/>
  <c r="E70" i="8"/>
  <c r="C71" i="8"/>
  <c r="E71" i="8"/>
  <c r="C72" i="8"/>
  <c r="D72" i="8"/>
  <c r="B73" i="8"/>
  <c r="C73" i="8"/>
  <c r="D73" i="8"/>
  <c r="E73" i="8"/>
  <c r="B74" i="8"/>
  <c r="C74" i="8"/>
  <c r="D74" i="8"/>
  <c r="E74" i="8"/>
  <c r="B75" i="8"/>
  <c r="B76" i="8"/>
  <c r="C77" i="8"/>
  <c r="D77" i="8"/>
  <c r="E77" i="8"/>
  <c r="B78" i="8"/>
  <c r="C78" i="8"/>
  <c r="D78" i="8"/>
  <c r="E78" i="8"/>
  <c r="B79" i="8"/>
  <c r="B80" i="8"/>
  <c r="C80" i="8"/>
  <c r="D80" i="8"/>
  <c r="E80" i="8"/>
  <c r="B81" i="8"/>
  <c r="D81" i="8"/>
  <c r="E81" i="8"/>
  <c r="B82" i="8"/>
  <c r="D82" i="8"/>
  <c r="E82" i="8"/>
  <c r="B83" i="8"/>
  <c r="B84" i="8"/>
  <c r="C84" i="8"/>
  <c r="D84" i="8"/>
  <c r="E84" i="8"/>
  <c r="B85" i="8"/>
  <c r="B86" i="8"/>
  <c r="C86" i="8"/>
  <c r="D86" i="8"/>
  <c r="E86" i="8"/>
  <c r="B87" i="8"/>
  <c r="D87" i="8"/>
  <c r="E87" i="8"/>
  <c r="B88" i="8"/>
  <c r="E88" i="8"/>
  <c r="B89" i="8"/>
  <c r="D89" i="8"/>
  <c r="E89" i="8"/>
  <c r="B90" i="8"/>
  <c r="C90" i="8"/>
  <c r="D90" i="8"/>
  <c r="E90" i="8"/>
  <c r="B91" i="8"/>
  <c r="D91" i="8"/>
  <c r="E91" i="8"/>
  <c r="B93" i="8"/>
  <c r="C93" i="8"/>
  <c r="D93" i="8"/>
  <c r="E93" i="8"/>
  <c r="B94" i="8"/>
  <c r="D94" i="8"/>
  <c r="B96" i="8"/>
  <c r="E96" i="8"/>
  <c r="B97" i="8"/>
  <c r="D97" i="8"/>
  <c r="E97" i="8"/>
  <c r="B99" i="8"/>
  <c r="D99" i="8"/>
  <c r="E99" i="8"/>
  <c r="B100" i="8"/>
  <c r="C100" i="8"/>
  <c r="D100" i="8"/>
  <c r="E100" i="8"/>
  <c r="B101" i="8"/>
  <c r="C101" i="8"/>
  <c r="D101" i="8"/>
  <c r="E101" i="8"/>
  <c r="B102" i="8"/>
  <c r="D102" i="8"/>
  <c r="E102" i="8"/>
  <c r="C103" i="8"/>
  <c r="D103" i="8" l="1"/>
  <c r="B77" i="8"/>
  <c r="B103" i="8" s="1"/>
  <c r="AJ86" i="7" l="1"/>
  <c r="AK86" i="7" s="1"/>
  <c r="AI86" i="7"/>
  <c r="AG86" i="7"/>
  <c r="AH86" i="7" s="1"/>
  <c r="AF86" i="7"/>
  <c r="AD86" i="7"/>
  <c r="AE86" i="7" s="1"/>
  <c r="AC86" i="7"/>
  <c r="AA86" i="7"/>
  <c r="AB86" i="7" s="1"/>
  <c r="Z86" i="7"/>
  <c r="X86" i="7"/>
  <c r="Y86" i="7" s="1"/>
  <c r="W86" i="7"/>
  <c r="U86" i="7"/>
  <c r="V86" i="7" s="1"/>
  <c r="T86" i="7"/>
  <c r="R86" i="7"/>
  <c r="S86" i="7" s="1"/>
  <c r="Q86" i="7"/>
  <c r="O86" i="7"/>
  <c r="P86" i="7" s="1"/>
  <c r="N86" i="7"/>
  <c r="L86" i="7"/>
  <c r="M86" i="7" s="1"/>
  <c r="K86" i="7"/>
  <c r="I86" i="7"/>
  <c r="J86" i="7" s="1"/>
  <c r="H86" i="7"/>
  <c r="F86" i="7"/>
  <c r="G86" i="7" s="1"/>
  <c r="E86" i="7"/>
  <c r="C86" i="7"/>
  <c r="D86" i="7" s="1"/>
  <c r="B86" i="7"/>
  <c r="AH84" i="7"/>
  <c r="AE84" i="7"/>
  <c r="Y84" i="7"/>
  <c r="V84" i="7"/>
  <c r="M84" i="7"/>
  <c r="D84" i="7"/>
  <c r="AK82" i="7"/>
  <c r="AH82" i="7"/>
  <c r="AB82" i="7"/>
  <c r="Y82" i="7"/>
  <c r="V82" i="7"/>
  <c r="S82" i="7"/>
  <c r="P82" i="7"/>
  <c r="M82" i="7"/>
  <c r="J82" i="7"/>
  <c r="G82" i="7"/>
  <c r="D82" i="7"/>
  <c r="AH80" i="7"/>
  <c r="Y80" i="7"/>
  <c r="V80" i="7"/>
  <c r="S80" i="7"/>
  <c r="D80" i="7"/>
  <c r="AB79" i="7"/>
  <c r="Y79" i="7"/>
  <c r="V79" i="7"/>
  <c r="S79" i="7"/>
  <c r="P79" i="7"/>
  <c r="M79" i="7"/>
  <c r="J79" i="7"/>
  <c r="G79" i="7"/>
  <c r="D79" i="7"/>
  <c r="AK78" i="7"/>
  <c r="AH78" i="7"/>
  <c r="Y78" i="7"/>
  <c r="S78" i="7"/>
  <c r="P78" i="7"/>
  <c r="M78" i="7"/>
  <c r="J78" i="7"/>
  <c r="G78" i="7"/>
  <c r="D78" i="7"/>
  <c r="AK77" i="7"/>
  <c r="AH77" i="7"/>
  <c r="AE77" i="7"/>
  <c r="Y77" i="7"/>
  <c r="V77" i="7"/>
  <c r="S77" i="7"/>
  <c r="P77" i="7"/>
  <c r="J77" i="7"/>
  <c r="G77" i="7"/>
  <c r="D77" i="7"/>
  <c r="AK75" i="7"/>
  <c r="AE75" i="7"/>
  <c r="AB75" i="7"/>
  <c r="Y75" i="7"/>
  <c r="V75" i="7"/>
  <c r="S75" i="7"/>
  <c r="P75" i="7"/>
  <c r="J75" i="7"/>
  <c r="G75" i="7"/>
  <c r="D75" i="7"/>
  <c r="AK74" i="7"/>
  <c r="AE74" i="7"/>
  <c r="Y74" i="7"/>
  <c r="V74" i="7"/>
  <c r="S74" i="7"/>
  <c r="P74" i="7"/>
  <c r="G74" i="7"/>
  <c r="D74" i="7"/>
  <c r="AK73" i="7"/>
  <c r="V73" i="7"/>
  <c r="S73" i="7"/>
  <c r="P73" i="7"/>
  <c r="J73" i="7"/>
  <c r="G73" i="7"/>
  <c r="D73" i="7"/>
  <c r="AH72" i="7"/>
  <c r="AB72" i="7"/>
  <c r="Y72" i="7"/>
  <c r="V72" i="7"/>
  <c r="S72" i="7"/>
  <c r="P72" i="7"/>
  <c r="M72" i="7"/>
  <c r="J72" i="7"/>
  <c r="G72" i="7"/>
  <c r="D72" i="7"/>
  <c r="AK71" i="7"/>
  <c r="AH71" i="7"/>
  <c r="AB71" i="7"/>
  <c r="Y71" i="7"/>
  <c r="V71" i="7"/>
  <c r="S71" i="7"/>
  <c r="P71" i="7"/>
  <c r="J71" i="7"/>
  <c r="G71" i="7"/>
  <c r="D71" i="7"/>
  <c r="AB70" i="7"/>
  <c r="Y70" i="7"/>
  <c r="V70" i="7"/>
  <c r="S70" i="7"/>
  <c r="P70" i="7"/>
  <c r="J70" i="7"/>
  <c r="G70" i="7"/>
  <c r="D70" i="7"/>
  <c r="AB69" i="7"/>
  <c r="Y69" i="7"/>
  <c r="V69" i="7"/>
  <c r="S69" i="7"/>
  <c r="P69" i="7"/>
  <c r="M69" i="7"/>
  <c r="G69" i="7"/>
  <c r="D69" i="7"/>
  <c r="AK68" i="7"/>
  <c r="AH68" i="7"/>
  <c r="AB68" i="7"/>
  <c r="Y68" i="7"/>
  <c r="V68" i="7"/>
  <c r="S68" i="7"/>
  <c r="P68" i="7"/>
  <c r="M68" i="7"/>
  <c r="J68" i="7"/>
  <c r="G68" i="7"/>
  <c r="D68" i="7"/>
  <c r="AK67" i="7"/>
  <c r="AH67" i="7"/>
  <c r="AB67" i="7"/>
  <c r="Y67" i="7"/>
  <c r="V67" i="7"/>
  <c r="S67" i="7"/>
  <c r="P67" i="7"/>
  <c r="M67" i="7"/>
  <c r="J67" i="7"/>
  <c r="G67" i="7"/>
  <c r="D67" i="7"/>
  <c r="AK66" i="7"/>
  <c r="AE66" i="7"/>
  <c r="AB66" i="7"/>
  <c r="Y66" i="7"/>
  <c r="V66" i="7"/>
  <c r="S66" i="7"/>
  <c r="P66" i="7"/>
  <c r="G66" i="7"/>
  <c r="D66" i="7"/>
  <c r="Y65" i="7"/>
  <c r="V65" i="7"/>
  <c r="S65" i="7"/>
  <c r="P65" i="7"/>
  <c r="M65" i="7"/>
  <c r="G65" i="7"/>
  <c r="D65" i="7"/>
  <c r="AK64" i="7"/>
  <c r="AH64" i="7"/>
  <c r="AE64" i="7"/>
  <c r="AB64" i="7"/>
  <c r="Y64" i="7"/>
  <c r="V64" i="7"/>
  <c r="S64" i="7"/>
  <c r="P64" i="7"/>
  <c r="M64" i="7"/>
  <c r="J64" i="7"/>
  <c r="G64" i="7"/>
  <c r="D64" i="7"/>
  <c r="AK63" i="7"/>
  <c r="AH63" i="7"/>
  <c r="AE63" i="7"/>
  <c r="AB63" i="7"/>
  <c r="Y63" i="7"/>
  <c r="V63" i="7"/>
  <c r="S63" i="7"/>
  <c r="P63" i="7"/>
  <c r="M63" i="7"/>
  <c r="J63" i="7"/>
  <c r="G63" i="7"/>
  <c r="D63" i="7"/>
  <c r="AK62" i="7"/>
  <c r="AH62" i="7"/>
  <c r="AE62" i="7"/>
  <c r="AB62" i="7"/>
  <c r="Y62" i="7"/>
  <c r="V62" i="7"/>
  <c r="S62" i="7"/>
  <c r="P62" i="7"/>
  <c r="M62" i="7"/>
  <c r="G62" i="7"/>
  <c r="D62" i="7"/>
  <c r="AK61" i="7"/>
  <c r="AH61" i="7"/>
  <c r="AE61" i="7"/>
  <c r="AB61" i="7"/>
  <c r="Y61" i="7"/>
  <c r="V61" i="7"/>
  <c r="S61" i="7"/>
  <c r="P61" i="7"/>
  <c r="M61" i="7"/>
  <c r="J61" i="7"/>
  <c r="G61" i="7"/>
  <c r="D61" i="7"/>
  <c r="AH60" i="7"/>
  <c r="AB60" i="7"/>
  <c r="Y60" i="7"/>
  <c r="V60" i="7"/>
  <c r="S60" i="7"/>
  <c r="P60" i="7"/>
  <c r="G60" i="7"/>
  <c r="D60" i="7"/>
  <c r="Y59" i="7"/>
  <c r="V59" i="7"/>
  <c r="S59" i="7"/>
  <c r="P59" i="7"/>
  <c r="G59" i="7"/>
  <c r="D59" i="7"/>
  <c r="AD40" i="7"/>
  <c r="AE40" i="7" s="1"/>
  <c r="AC40" i="7"/>
  <c r="AA40" i="7"/>
  <c r="Z40" i="7"/>
  <c r="X40" i="7"/>
  <c r="Y40" i="7" s="1"/>
  <c r="W40" i="7"/>
  <c r="U40" i="7"/>
  <c r="T40" i="7"/>
  <c r="R40" i="7"/>
  <c r="S40" i="7" s="1"/>
  <c r="Q40" i="7"/>
  <c r="O40" i="7"/>
  <c r="N40" i="7"/>
  <c r="L40" i="7"/>
  <c r="M40" i="7" s="1"/>
  <c r="K40" i="7"/>
  <c r="I40" i="7"/>
  <c r="H40" i="7"/>
  <c r="F40" i="7"/>
  <c r="G40" i="7" s="1"/>
  <c r="E40" i="7"/>
  <c r="C40" i="7"/>
  <c r="B40" i="7"/>
  <c r="AE36" i="7"/>
  <c r="AB36" i="7"/>
  <c r="Y36" i="7"/>
  <c r="V36" i="7"/>
  <c r="S36" i="7"/>
  <c r="P36" i="7"/>
  <c r="M36" i="7"/>
  <c r="G36" i="7"/>
  <c r="D36" i="7"/>
  <c r="AB35" i="7"/>
  <c r="Y35" i="7"/>
  <c r="V35" i="7"/>
  <c r="S35" i="7"/>
  <c r="P35" i="7"/>
  <c r="M35" i="7"/>
  <c r="J35" i="7"/>
  <c r="G35" i="7"/>
  <c r="AE34" i="7"/>
  <c r="AB34" i="7"/>
  <c r="Y34" i="7"/>
  <c r="V34" i="7"/>
  <c r="S34" i="7"/>
  <c r="P34" i="7"/>
  <c r="M34" i="7"/>
  <c r="J34" i="7"/>
  <c r="G34" i="7"/>
  <c r="D34" i="7"/>
  <c r="AE33" i="7"/>
  <c r="Y33" i="7"/>
  <c r="V33" i="7"/>
  <c r="S33" i="7"/>
  <c r="P33" i="7"/>
  <c r="M33" i="7"/>
  <c r="J33" i="7"/>
  <c r="G33" i="7"/>
  <c r="D33" i="7"/>
  <c r="AE32" i="7"/>
  <c r="AB32" i="7"/>
  <c r="Y32" i="7"/>
  <c r="V32" i="7"/>
  <c r="S32" i="7"/>
  <c r="P32" i="7"/>
  <c r="M32" i="7"/>
  <c r="J32" i="7"/>
  <c r="G32" i="7"/>
  <c r="D32" i="7"/>
  <c r="AE31" i="7"/>
  <c r="AB31" i="7"/>
  <c r="Y31" i="7"/>
  <c r="V31" i="7"/>
  <c r="S31" i="7"/>
  <c r="P31" i="7"/>
  <c r="M31" i="7"/>
  <c r="J31" i="7"/>
  <c r="G31" i="7"/>
  <c r="D31" i="7"/>
  <c r="AE30" i="7"/>
  <c r="AB30" i="7"/>
  <c r="Y30" i="7"/>
  <c r="V30" i="7"/>
  <c r="S30" i="7"/>
  <c r="P30" i="7"/>
  <c r="M30" i="7"/>
  <c r="J30" i="7"/>
  <c r="G30" i="7"/>
  <c r="D30" i="7"/>
  <c r="AE29" i="7"/>
  <c r="Y29" i="7"/>
  <c r="V29" i="7"/>
  <c r="S29" i="7"/>
  <c r="P29" i="7"/>
  <c r="M29" i="7"/>
  <c r="J29" i="7"/>
  <c r="G29" i="7"/>
  <c r="D29" i="7"/>
  <c r="AE28" i="7"/>
  <c r="Y28" i="7"/>
  <c r="V28" i="7"/>
  <c r="S28" i="7"/>
  <c r="P28" i="7"/>
  <c r="M28" i="7"/>
  <c r="J28" i="7"/>
  <c r="G28" i="7"/>
  <c r="D28" i="7"/>
  <c r="AE27" i="7"/>
  <c r="Y27" i="7"/>
  <c r="V27" i="7"/>
  <c r="S27" i="7"/>
  <c r="P27" i="7"/>
  <c r="M27" i="7"/>
  <c r="J27" i="7"/>
  <c r="G27" i="7"/>
  <c r="D27" i="7"/>
  <c r="AE26" i="7"/>
  <c r="Y26" i="7"/>
  <c r="V26" i="7"/>
  <c r="S26" i="7"/>
  <c r="P26" i="7"/>
  <c r="M26" i="7"/>
  <c r="J26" i="7"/>
  <c r="G26" i="7"/>
  <c r="D26" i="7"/>
  <c r="AE25" i="7"/>
  <c r="Y25" i="7"/>
  <c r="V25" i="7"/>
  <c r="S25" i="7"/>
  <c r="P25" i="7"/>
  <c r="M25" i="7"/>
  <c r="J25" i="7"/>
  <c r="G25" i="7"/>
  <c r="D25" i="7"/>
  <c r="AE24" i="7"/>
  <c r="Y24" i="7"/>
  <c r="V24" i="7"/>
  <c r="S24" i="7"/>
  <c r="P24" i="7"/>
  <c r="M24" i="7"/>
  <c r="J24" i="7"/>
  <c r="G24" i="7"/>
  <c r="D24" i="7"/>
  <c r="AB23" i="7"/>
  <c r="Y23" i="7"/>
  <c r="V23" i="7"/>
  <c r="P23" i="7"/>
  <c r="M23" i="7"/>
  <c r="J23" i="7"/>
  <c r="AE22" i="7"/>
  <c r="Y22" i="7"/>
  <c r="V22" i="7"/>
  <c r="S22" i="7"/>
  <c r="M22" i="7"/>
  <c r="J22" i="7"/>
  <c r="G22" i="7"/>
  <c r="D22" i="7"/>
  <c r="AE21" i="7"/>
  <c r="AB21" i="7"/>
  <c r="Y21" i="7"/>
  <c r="V21" i="7"/>
  <c r="S21" i="7"/>
  <c r="P21" i="7"/>
  <c r="M21" i="7"/>
  <c r="J21" i="7"/>
  <c r="G21" i="7"/>
  <c r="D21" i="7"/>
  <c r="AE20" i="7"/>
  <c r="Y20" i="7"/>
  <c r="V20" i="7"/>
  <c r="S20" i="7"/>
  <c r="P20" i="7"/>
  <c r="M20" i="7"/>
  <c r="J20" i="7"/>
  <c r="G20" i="7"/>
  <c r="D20" i="7"/>
  <c r="AE19" i="7"/>
  <c r="AB19" i="7"/>
  <c r="Y19" i="7"/>
  <c r="V19" i="7"/>
  <c r="S19" i="7"/>
  <c r="P19" i="7"/>
  <c r="M19" i="7"/>
  <c r="J19" i="7"/>
  <c r="G19" i="7"/>
  <c r="D19" i="7"/>
  <c r="AE18" i="7"/>
  <c r="Y18" i="7"/>
  <c r="V18" i="7"/>
  <c r="S18" i="7"/>
  <c r="P18" i="7"/>
  <c r="J18" i="7"/>
  <c r="G18" i="7"/>
  <c r="D18" i="7"/>
  <c r="AE17" i="7"/>
  <c r="AB17" i="7"/>
  <c r="Y17" i="7"/>
  <c r="V17" i="7"/>
  <c r="S17" i="7"/>
  <c r="P17" i="7"/>
  <c r="M17" i="7"/>
  <c r="J17" i="7"/>
  <c r="G17" i="7"/>
  <c r="D17" i="7"/>
  <c r="AE16" i="7"/>
  <c r="AB16" i="7"/>
  <c r="Y16" i="7"/>
  <c r="V16" i="7"/>
  <c r="S16" i="7"/>
  <c r="P16" i="7"/>
  <c r="J16" i="7"/>
  <c r="G16" i="7"/>
  <c r="D16" i="7"/>
  <c r="AE15" i="7"/>
  <c r="AB15" i="7"/>
  <c r="Y15" i="7"/>
  <c r="V15" i="7"/>
  <c r="S15" i="7"/>
  <c r="P15" i="7"/>
  <c r="M15" i="7"/>
  <c r="J15" i="7"/>
  <c r="G15" i="7"/>
  <c r="D15" i="7"/>
  <c r="Y13" i="7"/>
  <c r="S13" i="7"/>
  <c r="M13" i="7"/>
  <c r="J13" i="7"/>
  <c r="G13" i="7"/>
  <c r="J40" i="7" l="1"/>
  <c r="P40" i="7"/>
  <c r="V40" i="7"/>
  <c r="AB40" i="7"/>
  <c r="D40" i="7"/>
  <c r="C29" i="6" l="1"/>
  <c r="D28" i="6"/>
  <c r="C28" i="6"/>
  <c r="C25" i="6"/>
  <c r="C24" i="6"/>
  <c r="C23" i="6"/>
  <c r="C22" i="6"/>
  <c r="V19" i="6"/>
  <c r="U19" i="6"/>
  <c r="T19" i="6"/>
  <c r="S19" i="6"/>
  <c r="R19" i="6"/>
  <c r="Q19" i="6"/>
  <c r="P19" i="6"/>
  <c r="O19" i="6"/>
  <c r="N19" i="6"/>
  <c r="M19" i="6"/>
  <c r="V18" i="6"/>
  <c r="U18" i="6"/>
  <c r="T18" i="6"/>
  <c r="S18" i="6"/>
  <c r="R18" i="6"/>
  <c r="Q18" i="6"/>
  <c r="P18" i="6"/>
  <c r="O18" i="6"/>
  <c r="L18" i="6"/>
  <c r="K18" i="6"/>
  <c r="V17" i="6"/>
  <c r="U17" i="6"/>
  <c r="K17" i="6"/>
  <c r="I17" i="6"/>
  <c r="G17" i="6"/>
  <c r="E17" i="6"/>
  <c r="C17" i="6"/>
  <c r="S16" i="6"/>
  <c r="K16" i="6"/>
  <c r="I16" i="6"/>
  <c r="G16" i="6"/>
  <c r="E16" i="6"/>
  <c r="C16" i="6"/>
  <c r="V15" i="6"/>
  <c r="U15" i="6"/>
  <c r="T15" i="6"/>
  <c r="S15" i="6"/>
  <c r="P15" i="6"/>
  <c r="O15" i="6"/>
  <c r="L15" i="6"/>
  <c r="K15" i="6"/>
  <c r="J15" i="6"/>
  <c r="I15" i="6"/>
  <c r="G15" i="6"/>
  <c r="E15" i="6"/>
  <c r="C15" i="6"/>
  <c r="V14" i="6"/>
  <c r="U14" i="6"/>
  <c r="T14" i="6"/>
  <c r="S14" i="6"/>
  <c r="R14" i="6"/>
  <c r="Q14" i="6"/>
  <c r="P14" i="6"/>
  <c r="O14" i="6"/>
  <c r="K14" i="6"/>
  <c r="I14" i="6"/>
  <c r="G14" i="6"/>
  <c r="V13" i="6"/>
  <c r="U13" i="6"/>
  <c r="T13" i="6"/>
  <c r="R13" i="6"/>
  <c r="Q13" i="6"/>
  <c r="L13" i="6"/>
  <c r="K13" i="6"/>
  <c r="J13" i="6"/>
  <c r="I13" i="6"/>
  <c r="G13" i="6"/>
  <c r="E13" i="6"/>
  <c r="U12" i="6"/>
  <c r="R12" i="6"/>
  <c r="P12" i="6"/>
  <c r="O12" i="6"/>
  <c r="N12" i="6"/>
  <c r="L12" i="6"/>
  <c r="K12" i="6"/>
  <c r="J12" i="6"/>
  <c r="I12" i="6"/>
  <c r="G12" i="6"/>
  <c r="F12" i="6"/>
  <c r="E12" i="6"/>
  <c r="C12" i="6"/>
  <c r="V11" i="6"/>
  <c r="U11" i="6"/>
  <c r="T11" i="6"/>
  <c r="S11" i="6"/>
  <c r="R11" i="6"/>
  <c r="Q11" i="6"/>
  <c r="P11" i="6"/>
  <c r="O11" i="6"/>
  <c r="L11" i="6"/>
  <c r="K11" i="6"/>
  <c r="J11" i="6"/>
  <c r="I11" i="6"/>
  <c r="H11" i="6"/>
  <c r="G11" i="6"/>
  <c r="F11" i="6"/>
  <c r="E11" i="6"/>
  <c r="D11" i="6"/>
  <c r="C11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P37" i="5" l="1"/>
  <c r="C37" i="4" l="1"/>
  <c r="D37" i="4"/>
  <c r="E37" i="4"/>
  <c r="F37" i="4"/>
  <c r="G37" i="4"/>
  <c r="H37" i="4"/>
  <c r="I37" i="4"/>
  <c r="J37" i="4"/>
  <c r="K37" i="4"/>
  <c r="L37" i="4"/>
  <c r="B37" i="4"/>
</calcChain>
</file>

<file path=xl/sharedStrings.xml><?xml version="1.0" encoding="utf-8"?>
<sst xmlns="http://schemas.openxmlformats.org/spreadsheetml/2006/main" count="673" uniqueCount="303">
  <si>
    <t>DES</t>
  </si>
  <si>
    <t>Síntesis del análisis de pertinencia de los PE a nivel de cada DES de la institución</t>
  </si>
  <si>
    <t>Número de PE</t>
  </si>
  <si>
    <t>Considera las prioridades de los planes de desarrollo</t>
  </si>
  <si>
    <t>Considera los estudios de oferta y demanda</t>
  </si>
  <si>
    <t>Considera los estudios de seguimiento de egresados</t>
  </si>
  <si>
    <t>Considera las competencias profesionales</t>
  </si>
  <si>
    <t>Considera aspectos de investigación</t>
  </si>
  <si>
    <t>Sí</t>
  </si>
  <si>
    <t>No</t>
  </si>
  <si>
    <t>384 Artes. Xalapa</t>
  </si>
  <si>
    <t>397 Humanidades. Veracruz</t>
  </si>
  <si>
    <t>398 Humanidades. Xalapa</t>
  </si>
  <si>
    <t>405 Técnica. Veracruz</t>
  </si>
  <si>
    <t xml:space="preserve">406 Técnica. Xalapa </t>
  </si>
  <si>
    <t>408 Técnica. Poza Rica-Tuxpan</t>
  </si>
  <si>
    <t>567 Humanidades. Poza Rica-Tuxpan</t>
  </si>
  <si>
    <t>568 Humanidades. Córdoba-Orizaba</t>
  </si>
  <si>
    <t>569 Humanidades. Coatzacoalcos-Minatitlan</t>
  </si>
  <si>
    <t>1050 Universidad Veracruzana Intercultural</t>
  </si>
  <si>
    <t>388 Ciencias Biológico Agropecuarias. Códoba-Orizaba</t>
  </si>
  <si>
    <t>390 Ciencias de la Salud. Minatitlán- Coatzacoalcos</t>
  </si>
  <si>
    <t>391  Ciencias de la Salud. Orizaba-Cordoba</t>
  </si>
  <si>
    <t>392  Ciencias de la Salud. Poza Rica-Tuxpan</t>
  </si>
  <si>
    <t>393 Ciencias de la Salud. Veracruz</t>
  </si>
  <si>
    <t>394  Ciencias de la Salud. Xalapa</t>
  </si>
  <si>
    <t>404 Técnica.  Coatzacoalcos-Minatitlán</t>
  </si>
  <si>
    <t>400 Económico-Administrativa. Cordoba-Orizaba (Nogales)</t>
  </si>
  <si>
    <t>402 Económico-Administrativa. Veracruz</t>
  </si>
  <si>
    <t>407 Técnica.Cordoba-Orizaba</t>
  </si>
  <si>
    <t>566 Ciencias Biológico-Agropecuaria. Acayuca</t>
  </si>
  <si>
    <t>386 Ciencias Biológico-Agropecuarias. Veracruz</t>
  </si>
  <si>
    <t>401 Económico-Administrativa. Poza Rica-Tuxpan</t>
  </si>
  <si>
    <t>403 Económico-Administrativa. Xalapa</t>
  </si>
  <si>
    <t>387 Ciencias Biológico-Agropecuarias. Xalapa</t>
  </si>
  <si>
    <t>389 Ciencias  Biológico-Agropecuarias. Poza Rica-Tuxpan</t>
  </si>
  <si>
    <t>399 Económico-Administrativa.  Coatzacoalcos-Minatitlan</t>
  </si>
  <si>
    <t>NA</t>
  </si>
  <si>
    <t xml:space="preserve">1050 Universidad Veracruzana Intercultural </t>
  </si>
  <si>
    <t> 4</t>
  </si>
  <si>
    <t> 2</t>
  </si>
  <si>
    <t>6 </t>
  </si>
  <si>
    <t xml:space="preserve">569 Humanidades. Coatzacoalcos-Minatitlán </t>
  </si>
  <si>
    <t xml:space="preserve">568 Humanidades. Córdoba-Orizaba </t>
  </si>
  <si>
    <t>566 Ciencias Biológico-Agropecuarias. Acayucan</t>
  </si>
  <si>
    <t>408 Técnica. Poza Rica- Tuxpan</t>
  </si>
  <si>
    <t>407 Técnica. Córdoba-Orizaba</t>
  </si>
  <si>
    <t>406 Técnica. Xalapa</t>
  </si>
  <si>
    <t>S/E</t>
  </si>
  <si>
    <t>404 Técnica. Coatzacoalcos-Minatitlán</t>
  </si>
  <si>
    <t xml:space="preserve">403 Económico-Administrativa. Xalapa </t>
  </si>
  <si>
    <t xml:space="preserve">402 Económico-Administrativa. Veracruz </t>
  </si>
  <si>
    <t>400  Económico-Administrativa. Córdoba-Orizaba (Nogales)</t>
  </si>
  <si>
    <t xml:space="preserve">399 Económico-Administrativa. Coatzacoalcos-Minatitlán </t>
  </si>
  <si>
    <t xml:space="preserve">394 Ciencias de la Salud. Xalapa </t>
  </si>
  <si>
    <t>SI</t>
  </si>
  <si>
    <t xml:space="preserve">393 Ciencias de la Salud. Veracruz </t>
  </si>
  <si>
    <t>392 Ciencias de la Salud. Poza Rica-Tuxpan</t>
  </si>
  <si>
    <t xml:space="preserve">391 Ciencias de la Salud. Orizaba-Córdoba </t>
  </si>
  <si>
    <t>390 Ciencias de la Salud. Minatitlán-Coatzacoalcos</t>
  </si>
  <si>
    <t>389 Ciencias Biológico-Agropecuarias. Poza Rica-Tuxpan</t>
  </si>
  <si>
    <t xml:space="preserve">388 Ciencias Biológico-Agropecuarias. Córdoba-Orizaba </t>
  </si>
  <si>
    <t xml:space="preserve">387 Ciencias Biológico-Agropecuarias. Xalapa </t>
  </si>
  <si>
    <t xml:space="preserve">386 Ciencias Biológico-Agropecuarias. Veracruz </t>
  </si>
  <si>
    <t>LGAC                         /PTC</t>
  </si>
  <si>
    <t>III</t>
  </si>
  <si>
    <t>II</t>
  </si>
  <si>
    <t>I</t>
  </si>
  <si>
    <t>C</t>
  </si>
  <si>
    <t>E</t>
  </si>
  <si>
    <t>M</t>
  </si>
  <si>
    <t>D</t>
  </si>
  <si>
    <t>No reconocido en el PNPC</t>
  </si>
  <si>
    <t>PFC</t>
  </si>
  <si>
    <t>PNP</t>
  </si>
  <si>
    <r>
      <t>Tasa de graduación por cohorte genracional</t>
    </r>
    <r>
      <rPr>
        <b/>
        <sz val="8"/>
        <color rgb="FF000000"/>
        <rFont val="Arial Narrow"/>
        <family val="2"/>
      </rPr>
      <t>*</t>
    </r>
  </si>
  <si>
    <t>Evidencia de los estudios de seguimiento  de egresados o registros</t>
  </si>
  <si>
    <t>LGAC</t>
  </si>
  <si>
    <t xml:space="preserve">No. de PTC adscritos al SNI   </t>
  </si>
  <si>
    <t>Nivel de estudios</t>
  </si>
  <si>
    <t>Núm                de PTC  que        lo atienden**</t>
  </si>
  <si>
    <t>Calidad del PE</t>
  </si>
  <si>
    <t>Nivel del PE</t>
  </si>
  <si>
    <t>Resultados</t>
  </si>
  <si>
    <t>Núcleo académico básico</t>
  </si>
  <si>
    <t>Síntesis de los parámetros
básicos para los PE de posgrado para su ingreso al PNPC</t>
  </si>
  <si>
    <r>
      <t xml:space="preserve">566 Ciencias Biológico-Agropecuarias. Acayucan </t>
    </r>
    <r>
      <rPr>
        <b/>
        <sz val="8"/>
        <color theme="1"/>
        <rFont val="Calibri"/>
        <family val="2"/>
        <scheme val="minor"/>
      </rPr>
      <t>*</t>
    </r>
  </si>
  <si>
    <r>
      <t xml:space="preserve"> </t>
    </r>
    <r>
      <rPr>
        <b/>
        <sz val="8"/>
        <color theme="1"/>
        <rFont val="Calibri"/>
        <family val="2"/>
        <scheme val="minor"/>
      </rPr>
      <t xml:space="preserve">* </t>
    </r>
    <r>
      <rPr>
        <sz val="8"/>
        <color theme="1"/>
        <rFont val="Calibri"/>
        <family val="2"/>
        <scheme val="minor"/>
      </rPr>
      <t>La DES Ciencias Biológico-Agropecuarias Acayucan, no cuenta con ningún posgrado.</t>
    </r>
  </si>
  <si>
    <t>COOPERACIÓN ACADÉMICA NACIONAL E INTERNACIONALIZACIÓN (Movilidad)</t>
  </si>
  <si>
    <t>Estudiantes</t>
  </si>
  <si>
    <t>PROFESORES</t>
  </si>
  <si>
    <t>Concepto</t>
  </si>
  <si>
    <t>Ámbito</t>
  </si>
  <si>
    <t>No.</t>
  </si>
  <si>
    <t>Monto</t>
  </si>
  <si>
    <t>Para complementar la formación académica</t>
  </si>
  <si>
    <t>Nacional</t>
  </si>
  <si>
    <t>Internacional</t>
  </si>
  <si>
    <t>Con reconocimientos de créditos</t>
  </si>
  <si>
    <t>Recibida por la institución para complementar la formación académica</t>
  </si>
  <si>
    <t>Enviada por la institución con reconocimiento de créditos</t>
  </si>
  <si>
    <t>Participación en redes académicas</t>
  </si>
  <si>
    <t>Número</t>
  </si>
  <si>
    <t>Convenios de cooperación académica con otras IES y Centros de Investigación</t>
  </si>
  <si>
    <t>Proyectos académicos y de investigación con otras IES y Centros de Investigación</t>
  </si>
  <si>
    <t>Maestría</t>
  </si>
  <si>
    <t>Doctorado</t>
  </si>
  <si>
    <t>Programas educativos de posgrado conjunto con otras IES</t>
  </si>
  <si>
    <t xml:space="preserve">Síntesis de la atención a las recomendaciones académicas de los CIEES </t>
  </si>
  <si>
    <t>Normativa y políticas generales</t>
  </si>
  <si>
    <t>Planeación, gestión y evaluación</t>
  </si>
  <si>
    <t>Modelo educativo y plan de estudios</t>
  </si>
  <si>
    <t>Desempeño estudiantil, retención y eficiencia terminal 
física</t>
  </si>
  <si>
    <t>Servicio de apoyo al estudiantado</t>
  </si>
  <si>
    <t>Perfil y actividades del personal académico</t>
  </si>
  <si>
    <t>Docencia e investigación</t>
  </si>
  <si>
    <t xml:space="preserve">Infraestructura: instalaciones, laboratorios, equipo y servicios  </t>
  </si>
  <si>
    <t xml:space="preserve">Reconocimiento social y laboral </t>
  </si>
  <si>
    <t xml:space="preserve">Vinculación con los sectores de la sociedad </t>
  </si>
  <si>
    <t>Atendidas</t>
  </si>
  <si>
    <t>%</t>
  </si>
  <si>
    <t>Síntesis de la atención a las recomendaciones académicas de los COPAES</t>
  </si>
  <si>
    <t>Personal académico adscrito al programa</t>
  </si>
  <si>
    <t>Currículum</t>
  </si>
  <si>
    <t>Métodos e instrumentos para evaluar el aprendizaje</t>
  </si>
  <si>
    <t>Servicios institucionales para el aprendizaje de los estudiantes
física</t>
  </si>
  <si>
    <t>Alumnos</t>
  </si>
  <si>
    <t>Infraestructura y equipamiento de apoyo al desarrollo del programa</t>
  </si>
  <si>
    <t>Líneas y actividades de investigación, en su caso, para la impartición del programa</t>
  </si>
  <si>
    <t>Vinculación</t>
  </si>
  <si>
    <t>Normativa institucional que regule la operación del programa</t>
  </si>
  <si>
    <t>Conducción académico-administrativa</t>
  </si>
  <si>
    <t>Proceso de planeación y evaluación</t>
  </si>
  <si>
    <t>Gestión administrativa y financiamiento</t>
  </si>
  <si>
    <t>Núm</t>
  </si>
  <si>
    <t>CM - Coatzacoalcos Minatitlán</t>
  </si>
  <si>
    <t>PT- Poza Rica Tuxpan</t>
  </si>
  <si>
    <t>CO- Córdoba Orizaba</t>
  </si>
  <si>
    <t>V- Veracruz</t>
  </si>
  <si>
    <t>X- Xalapa</t>
  </si>
  <si>
    <t>Total</t>
  </si>
  <si>
    <t>95. Ingeniería Química CM</t>
  </si>
  <si>
    <t>94. Ingeniería Mecánica Eléctrica CM</t>
  </si>
  <si>
    <t>93. Ingeniería Civil CM</t>
  </si>
  <si>
    <t>92. Ingeniería Civil PT</t>
  </si>
  <si>
    <t>91. Ingeniería Química PT</t>
  </si>
  <si>
    <t>90. Ingeniería Mecánica Eléctrica PT</t>
  </si>
  <si>
    <t>89. Químico Farmacéutico Biólogo CO</t>
  </si>
  <si>
    <t>88. Ingeniería Química CO</t>
  </si>
  <si>
    <t>87. Ingeniería Mecánica Eléctrica CO</t>
  </si>
  <si>
    <t>86. Ingeniería Civil V</t>
  </si>
  <si>
    <t>85. Ingeniería Química V</t>
  </si>
  <si>
    <t>84. Ingeniería Mecánica Eléctrica V</t>
  </si>
  <si>
    <t>83. Ingeniería Civil X</t>
  </si>
  <si>
    <t>82. Químico Farmacéutico Biólogo X</t>
  </si>
  <si>
    <t>81. Ingeniería en Instrumentación y Electrónica X</t>
  </si>
  <si>
    <t>80. Ingeniería Química X</t>
  </si>
  <si>
    <t>79. Ingeniería Mecánica Eléctrica X</t>
  </si>
  <si>
    <t>78. Trabajo Social CM</t>
  </si>
  <si>
    <t>77. Derecho-SEA CM</t>
  </si>
  <si>
    <t>76. Trabajo Social PT</t>
  </si>
  <si>
    <t>75. Pedagogía PT</t>
  </si>
  <si>
    <t>74. Derecho SEA PT</t>
  </si>
  <si>
    <t>73. Derecho - SEA CO</t>
  </si>
  <si>
    <t>72. Sociología - SEA CO</t>
  </si>
  <si>
    <t>71. Pedagogía V</t>
  </si>
  <si>
    <t>70. Derecho V</t>
  </si>
  <si>
    <t>69. Ciencias de la Comunicación V</t>
  </si>
  <si>
    <t>68. Ciencias de la Comunicación - Abierto V</t>
  </si>
  <si>
    <t>67. Pedagogía SEA X</t>
  </si>
  <si>
    <t>66. Pedagogía X</t>
  </si>
  <si>
    <t>65. Derecho SEA X</t>
  </si>
  <si>
    <t>64. Derecho X</t>
  </si>
  <si>
    <t>63. Contaduría SEA CM</t>
  </si>
  <si>
    <t>62. Contaduría CM</t>
  </si>
  <si>
    <t>61. Administración CM</t>
  </si>
  <si>
    <t>60. Sistemas Computacionales Administrativos PT</t>
  </si>
  <si>
    <t>59. Gestión y Dirección de Negocios PT</t>
  </si>
  <si>
    <t>58. Contaduría PT</t>
  </si>
  <si>
    <t>57. Contaduría PT</t>
  </si>
  <si>
    <t>56. Informática CO</t>
  </si>
  <si>
    <t>55. Contaduría SEA CO</t>
  </si>
  <si>
    <t>54. Administración SEA CO</t>
  </si>
  <si>
    <t>53. Contaduría CO</t>
  </si>
  <si>
    <t>52. Sistemas Computacionales CO</t>
  </si>
  <si>
    <t>51. Administración CO</t>
  </si>
  <si>
    <t>50. Contaduría (SEA) V</t>
  </si>
  <si>
    <t>49. Administración (SEA) V</t>
  </si>
  <si>
    <t>48. Sistemas Computacionales  Administrativos V</t>
  </si>
  <si>
    <t>47. Contaduría V</t>
  </si>
  <si>
    <t>46. Administración Turística V</t>
  </si>
  <si>
    <t>45. Administración V</t>
  </si>
  <si>
    <t>44. Sistemas Computacionales Administrativos X</t>
  </si>
  <si>
    <t>43. Contaduría SEA X</t>
  </si>
  <si>
    <t>42. Informática X</t>
  </si>
  <si>
    <t>41. Ciencias y Técnicas Estadísticas X</t>
  </si>
  <si>
    <t>40 .Geografía X</t>
  </si>
  <si>
    <t>39. Economía X</t>
  </si>
  <si>
    <t>38. Relaciones Industriales X</t>
  </si>
  <si>
    <t>37. Publicidad y Relaciones Públicas X</t>
  </si>
  <si>
    <t>36. Administración de Negocios Internacionales X</t>
  </si>
  <si>
    <t>35. Gestión y Dirección de Negocios X</t>
  </si>
  <si>
    <t>34. Administración SEA X</t>
  </si>
  <si>
    <t>33. Administración X</t>
  </si>
  <si>
    <t>32. Contaduría X</t>
  </si>
  <si>
    <t>31. Técnico de Enfermería CM</t>
  </si>
  <si>
    <t>30. Medico Cirujano CM</t>
  </si>
  <si>
    <t>29. Enfermería CM</t>
  </si>
  <si>
    <t>28. Cirujano Dentista CM</t>
  </si>
  <si>
    <t>27. Psicología PT</t>
  </si>
  <si>
    <t>26. Médico Cirujano PT</t>
  </si>
  <si>
    <t>25. Enfermería PT</t>
  </si>
  <si>
    <t>24. Cirujano Dentista PT</t>
  </si>
  <si>
    <t>23. Médico Cirujano CO</t>
  </si>
  <si>
    <t>22. Enfermería CO</t>
  </si>
  <si>
    <t>21. Cirujano Dentista CO</t>
  </si>
  <si>
    <t>20. Química Clínica V</t>
  </si>
  <si>
    <t>19. Psicología V</t>
  </si>
  <si>
    <t>18. Nutrición V</t>
  </si>
  <si>
    <t>17. Médico Cirujano V</t>
  </si>
  <si>
    <t>16. Enfermería V</t>
  </si>
  <si>
    <t>15. Cirujano Dentista V</t>
  </si>
  <si>
    <t>14. Química Clínica X</t>
  </si>
  <si>
    <t>13. Psicología X</t>
  </si>
  <si>
    <t>12. Nutrición X</t>
  </si>
  <si>
    <t>11. Médico Cirujano X</t>
  </si>
  <si>
    <t>10. Enfermería X</t>
  </si>
  <si>
    <t>9. Cirujano Dentista X</t>
  </si>
  <si>
    <t>8. Médico Veterinario Zootecnista PT</t>
  </si>
  <si>
    <t>7. Ingeniero Agrónomo PT</t>
  </si>
  <si>
    <t>6. Biología PT</t>
  </si>
  <si>
    <t>5. Ingeniero Agrónomo CO</t>
  </si>
  <si>
    <t>4. Biología CO</t>
  </si>
  <si>
    <t>3. Médico Veterinario Zootecnista V</t>
  </si>
  <si>
    <t>2. Ingeniero Agrónomo X</t>
  </si>
  <si>
    <t>1. Biología X</t>
  </si>
  <si>
    <t>Estudiantes sin testimonio (ST)</t>
  </si>
  <si>
    <t>Estudiantes con Testimonio de Desempeño Satisfactorio (TDS)</t>
  </si>
  <si>
    <t>Estudiantes con Testimonio de Desempeño Sobresaliente (TDSS)</t>
  </si>
  <si>
    <t>Estudiantes que presentaron el EGEL</t>
  </si>
  <si>
    <t>Programa educativo</t>
  </si>
  <si>
    <t>Síntesis de los resultados del EGEL</t>
  </si>
  <si>
    <t>.</t>
  </si>
  <si>
    <t>Algunos otros aspectos  (detallar)</t>
  </si>
  <si>
    <t>Educación continua  (cursos, diplomados, talleres, entre otros)</t>
  </si>
  <si>
    <t xml:space="preserve">vinculación social, cultural y artística </t>
  </si>
  <si>
    <t xml:space="preserve">   Estudios</t>
  </si>
  <si>
    <t xml:space="preserve">   Asesorías técnicas</t>
  </si>
  <si>
    <t xml:space="preserve">   Elaboración de proyectos</t>
  </si>
  <si>
    <t xml:space="preserve">   Laboratorios</t>
  </si>
  <si>
    <t>Servicios  (señalar el tipo)</t>
  </si>
  <si>
    <t>Patentes</t>
  </si>
  <si>
    <t>Proyectos con financiamiento externo</t>
  </si>
  <si>
    <t>Proyectos con el sector productivo</t>
  </si>
  <si>
    <t xml:space="preserve">   Con los gobiernos federal, estatal y municipal</t>
  </si>
  <si>
    <t xml:space="preserve">   Con el sector productivo</t>
  </si>
  <si>
    <t xml:space="preserve">Convenios </t>
  </si>
  <si>
    <t>Principales acciones de vinculación</t>
  </si>
  <si>
    <t>PRINCIPALES PROBLEMAS EN ORDEN  DE IMPORTANCIA</t>
  </si>
  <si>
    <t>Importancia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</si>
  <si>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</si>
  <si>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</si>
  <si>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</si>
  <si>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</si>
  <si>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</si>
  <si>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</si>
  <si>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recomendaciones CIEES-COPAES</t>
  </si>
  <si>
    <t>Formación integral del estudiante</t>
  </si>
  <si>
    <t>Exámenes generales de egreso de licenciatura (IDAP)</t>
  </si>
  <si>
    <t>Capacidad Académica</t>
  </si>
  <si>
    <t>Competitividad Académica</t>
  </si>
  <si>
    <t>Otros problemas</t>
  </si>
  <si>
    <t>El programa de seguimiento de egresados UV se encuentra aun en fase de prueba, por lo que se carece de  la información (resultados) que permita mantener y fortalecer la vinculación de la institución con sus egresados para mejorar la calidad de la función académica, planes y programas de estudio, asi como la incersión laboral</t>
  </si>
  <si>
    <t>Con relación a las recomendaciones de los CIEES, las que presentan menor porcentaje de atención son las relasionadas con el desempeño estudiantil, retención y eficiencia terminal fisica y; la de infraestructuracomo son instalaciones, laboratorios, equipo y servicios.</t>
  </si>
  <si>
    <t>Falta de estudios de factibilidad en algunos PE para actualización de planes de estudio</t>
  </si>
  <si>
    <t>54 (53%) PE de posgrado no pertenecen al PNPC del Conacyt</t>
  </si>
  <si>
    <t>Sistema tutorial que requiere mejorar en su funcionamiento y capacitación de sus académicos. Insuficientes actividades culturales, deportivas a consecuencia de  la falta de infraestructura</t>
  </si>
  <si>
    <t>Falta de apoyo en el  uso de las TIC.  y reforzar la implementación del proyecto institucional AULA.</t>
  </si>
  <si>
    <t>Necesidad de infraestructura equipos y espacios  virtuales para el desarrollo de competencias</t>
  </si>
  <si>
    <t>Escaso impulso a la movilidad estudiantil y  académica nacional e internacional asi como con redes académicas de otras IES</t>
  </si>
  <si>
    <t>Falta fortalecer la difusión y promoción de la educación ambiental, dentro y fuera de la Institucion, para  contribuir a la formación integral del estudiante reforzando  proyectos de investigación que eleven la calidad académica de las DES.</t>
  </si>
  <si>
    <t>Falta mayor participación de la DES con instituciones para ofrecer servicios a su entorno. Falta articular programas de educación continua</t>
  </si>
  <si>
    <t>Aproximadamente el 50% de egresados que presentan el EGEL no obtienen testimonio. El EGEL no es utilizado como herramienta para evaluación del desempeño estudiantil.</t>
  </si>
  <si>
    <t>PRINCIPALES FORTALEZAS EN ORDEN  DE IMPORTANCIA</t>
  </si>
  <si>
    <t>Pertinencia  de PE</t>
  </si>
  <si>
    <t>Los PE estan basados en el estudio de la pertinencia social y se orientan a la satisfaccion de las necesidades sociales detectadas, dando prioridad a la formacion integral de los estudiantes</t>
  </si>
  <si>
    <t>Se cuenta  con 102 PE de licenciatura  con reconocimiento externo de su calidad, de este total 90    PE corresponden a la modalidad escolarizada y 12 a la modalida  no escolarizada. En total se atiende a 46,473 alumnos en PE reconocidos por su buena calidad.</t>
  </si>
  <si>
    <t>Se incrementó la oferta de programas de posgrado en un 47% on relación a los reportado en el PIFI 2010-2011   (48 son de nueva creación), atendiendo las brechas existentes entre Xalapa y las otras regiones</t>
  </si>
  <si>
    <t>Se  cuenta con 102 programas de licenciatura con el reconocimiento externo de su calidad, 54 están acreditados por algún organismo reconocido por el COPAES, y con ellos se atiende al 48.76% de la matricula.</t>
  </si>
  <si>
    <t>Se incementó el número de PE de posgrado adscritos al PNPC. Se incorporaron 16 nuevos, por lo que actualmente se cuenta con 42</t>
  </si>
  <si>
    <t xml:space="preserve">En el Proyecto Aula  681 academicos han aplicado experiencias educativas a sus respectivos programas educativos.  </t>
  </si>
  <si>
    <t>El total de PE de licencitura son flexibles, cuentan con materias optativas, se incluyen  valores como responsabilidad y ética. Se cuenta con Programa de Tutorías y fomento de actividades culturales y deportivas</t>
  </si>
  <si>
    <t>El Sistema Institucional de Tutorías, se fortalecio atendiendo  a 23,983 estudiantes en actividades de tutoría académica, lo que representa una cobertura de 44%, gracias a la colaboración de 1, 528 tutores, de los cuales  el 61% son profesores de tiempo completo (PTC).</t>
  </si>
  <si>
    <t>En noviembre de 2010 fue creada la Dirección General de Relasiones Internacionales, con objetivo de desarrollar y consolidar la internacionalización, implementando estrategias de difusión y promoción en las cinco regiones universitarias.</t>
  </si>
  <si>
    <t>Se aplica el EGEL en  95 PE, los cuales representan  un 55.88 % del total de PE.</t>
  </si>
  <si>
    <t xml:space="preserve">Actualmente 1, 734 PTC (88.79%) cuentan con estudios de posgrado y se cuenta con 843 PTC con  perfil PROMEP.
</t>
  </si>
  <si>
    <t>Se cuenta con 75% de PE de licenciatura y TSU de calidad, en los que se atiende al 82.28%  de la matrícula con calidad.</t>
  </si>
  <si>
    <t>Se cuenta con el Plan Maestro para la Sustentabilidad de la Universidad Veracruzana, cuyo objetivo es aplicar la políticas académicas y administrativas a fin de poner en marcha el sistema de manejo ambiental.</t>
  </si>
  <si>
    <t xml:space="preserve">Se cuenta con 19 CA cosolidados y 54 CAEC  que desarrollan 367 lineas de generación de aplicación del conocimiento en diversas áreas. </t>
  </si>
  <si>
    <t>Se tienen programas de vinculación con IES, con  el sector social, productivo y los diferente niveles de gobierno,  en los que participan académicos, investigadores, estudiates, personal adminsitrativo y funcionarios, para garantizar la pertinencia y adecuación del modelo educativo a los requerimientos sociales.</t>
  </si>
  <si>
    <t>Cuatro DES no cuentan con PE de calidad.</t>
  </si>
  <si>
    <t>Bajas Tasas de egreso y titulación por cohorte en PE de Licenciatura del 58.52% y 52.87%, respectivamente.</t>
  </si>
  <si>
    <t>Seis DES  no cuentan con  SNI; y 13 DES sin cuerpos académicos.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</si>
</sst>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8"/>
      <color rgb="FFFF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Calibri"/>
      <family val="2"/>
      <scheme val="minor"/>
    </font>
    <font>
      <sz val="8"/>
      <name val="Arial Narrow"/>
      <family val="2"/>
    </font>
    <font>
      <b/>
      <sz val="8"/>
      <color rgb="FF000000"/>
      <name val="Arial Narrow"/>
      <family val="2"/>
    </font>
    <font>
      <b/>
      <sz val="14"/>
      <color theme="1"/>
      <name val="Arial Narrow"/>
      <family val="2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3"/>
      <name val="Calibri"/>
      <family val="2"/>
      <scheme val="minor"/>
    </font>
    <font>
      <sz val="7"/>
      <color rgb="FF000000"/>
      <name val="Arial Narrow"/>
      <family val="2"/>
    </font>
    <font>
      <b/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8" fillId="0" borderId="0"/>
    <xf numFmtId="0" fontId="1" fillId="0" borderId="0"/>
  </cellStyleXfs>
  <cellXfs count="184">
    <xf numFmtId="0" fontId="0" fillId="0" borderId="0" xfId="0"/>
    <xf numFmtId="0" fontId="4" fillId="0" borderId="0" xfId="1"/>
    <xf numFmtId="0" fontId="6" fillId="5" borderId="1" xfId="1" applyFont="1" applyFill="1" applyBorder="1" applyAlignment="1">
      <alignment horizontal="center" vertical="center"/>
    </xf>
    <xf numFmtId="0" fontId="7" fillId="0" borderId="0" xfId="1" applyFont="1"/>
    <xf numFmtId="0" fontId="4" fillId="0" borderId="0" xfId="1" applyAlignment="1"/>
    <xf numFmtId="0" fontId="7" fillId="0" borderId="1" xfId="1" applyFont="1" applyBorder="1" applyAlignment="1">
      <alignment horizontal="justify" vertical="center"/>
    </xf>
    <xf numFmtId="0" fontId="8" fillId="0" borderId="1" xfId="1" applyFont="1" applyBorder="1" applyAlignment="1">
      <alignment vertical="center"/>
    </xf>
    <xf numFmtId="0" fontId="4" fillId="0" borderId="1" xfId="1" applyBorder="1" applyAlignment="1">
      <alignment vertical="center"/>
    </xf>
    <xf numFmtId="0" fontId="7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2" fillId="0" borderId="0" xfId="3"/>
    <xf numFmtId="0" fontId="11" fillId="0" borderId="4" xfId="3" applyFont="1" applyFill="1" applyBorder="1" applyAlignment="1">
      <alignment horizontal="left" vertical="center"/>
    </xf>
    <xf numFmtId="0" fontId="12" fillId="0" borderId="1" xfId="3" applyFont="1" applyFill="1" applyBorder="1" applyAlignment="1">
      <alignment horizontal="center" vertical="center"/>
    </xf>
    <xf numFmtId="2" fontId="12" fillId="0" borderId="1" xfId="3" applyNumberFormat="1" applyFont="1" applyBorder="1" applyAlignment="1">
      <alignment horizontal="center" vertical="center"/>
    </xf>
    <xf numFmtId="0" fontId="2" fillId="0" borderId="1" xfId="3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0" fontId="2" fillId="0" borderId="5" xfId="3" applyBorder="1" applyAlignment="1">
      <alignment horizontal="center" vertical="center"/>
    </xf>
    <xf numFmtId="0" fontId="13" fillId="0" borderId="1" xfId="3" applyFont="1" applyBorder="1" applyAlignment="1">
      <alignment horizontal="justify" vertical="center" wrapText="1"/>
    </xf>
    <xf numFmtId="0" fontId="2" fillId="0" borderId="4" xfId="3" applyBorder="1"/>
    <xf numFmtId="0" fontId="2" fillId="6" borderId="5" xfId="3" applyFill="1" applyBorder="1" applyAlignment="1">
      <alignment horizontal="center" vertical="center"/>
    </xf>
    <xf numFmtId="0" fontId="12" fillId="0" borderId="4" xfId="3" applyFont="1" applyFill="1" applyBorder="1" applyAlignment="1">
      <alignment horizontal="left" vertical="center"/>
    </xf>
    <xf numFmtId="0" fontId="12" fillId="6" borderId="1" xfId="3" applyFont="1" applyFill="1" applyBorder="1" applyAlignment="1">
      <alignment horizontal="center" vertical="center"/>
    </xf>
    <xf numFmtId="9" fontId="12" fillId="0" borderId="1" xfId="3" applyNumberFormat="1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2" fillId="6" borderId="1" xfId="3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/>
    </xf>
    <xf numFmtId="9" fontId="12" fillId="6" borderId="1" xfId="3" applyNumberFormat="1" applyFont="1" applyFill="1" applyBorder="1" applyAlignment="1">
      <alignment horizontal="center" vertical="center"/>
    </xf>
    <xf numFmtId="2" fontId="12" fillId="6" borderId="1" xfId="3" applyNumberFormat="1" applyFont="1" applyFill="1" applyBorder="1" applyAlignment="1">
      <alignment horizontal="center" vertical="center"/>
    </xf>
    <xf numFmtId="0" fontId="12" fillId="6" borderId="5" xfId="3" applyFont="1" applyFill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12" fillId="7" borderId="1" xfId="3" applyFont="1" applyFill="1" applyBorder="1" applyAlignment="1">
      <alignment horizontal="center" vertical="center"/>
    </xf>
    <xf numFmtId="0" fontId="12" fillId="7" borderId="1" xfId="3" applyFont="1" applyFill="1" applyBorder="1" applyAlignment="1">
      <alignment horizontal="center" vertical="center" wrapText="1"/>
    </xf>
    <xf numFmtId="0" fontId="16" fillId="0" borderId="0" xfId="3" applyFont="1" applyAlignment="1">
      <alignment horizontal="left"/>
    </xf>
    <xf numFmtId="0" fontId="2" fillId="0" borderId="0" xfId="3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2" fontId="12" fillId="0" borderId="0" xfId="3" applyNumberFormat="1" applyFont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left" vertical="center"/>
    </xf>
    <xf numFmtId="0" fontId="13" fillId="0" borderId="0" xfId="3" applyFont="1" applyBorder="1" applyAlignment="1">
      <alignment horizontal="justify" vertical="center"/>
    </xf>
    <xf numFmtId="0" fontId="13" fillId="0" borderId="0" xfId="3" applyFont="1" applyBorder="1" applyAlignment="1">
      <alignment horizontal="left" vertical="center"/>
    </xf>
    <xf numFmtId="0" fontId="2" fillId="0" borderId="0" xfId="4"/>
    <xf numFmtId="0" fontId="9" fillId="0" borderId="0" xfId="4" applyFont="1"/>
    <xf numFmtId="0" fontId="9" fillId="8" borderId="1" xfId="4" applyFont="1" applyFill="1" applyBorder="1"/>
    <xf numFmtId="0" fontId="9" fillId="8" borderId="1" xfId="4" applyFont="1" applyFill="1" applyBorder="1" applyAlignment="1">
      <alignment vertical="center"/>
    </xf>
    <xf numFmtId="0" fontId="2" fillId="0" borderId="1" xfId="4" applyBorder="1"/>
    <xf numFmtId="164" fontId="2" fillId="0" borderId="1" xfId="4" applyNumberFormat="1" applyBorder="1"/>
    <xf numFmtId="0" fontId="2" fillId="0" borderId="1" xfId="4" applyFont="1" applyBorder="1"/>
    <xf numFmtId="4" fontId="2" fillId="0" borderId="1" xfId="4" applyNumberFormat="1" applyBorder="1"/>
    <xf numFmtId="3" fontId="2" fillId="0" borderId="0" xfId="4" applyNumberFormat="1" applyFont="1"/>
    <xf numFmtId="164" fontId="2" fillId="0" borderId="0" xfId="4" applyNumberFormat="1"/>
    <xf numFmtId="3" fontId="2" fillId="0" borderId="0" xfId="4" applyNumberFormat="1"/>
    <xf numFmtId="4" fontId="2" fillId="0" borderId="1" xfId="4" applyNumberFormat="1" applyFont="1" applyBorder="1"/>
    <xf numFmtId="3" fontId="9" fillId="0" borderId="0" xfId="4" applyNumberFormat="1" applyFont="1"/>
    <xf numFmtId="164" fontId="9" fillId="0" borderId="0" xfId="4" applyNumberFormat="1" applyFont="1"/>
    <xf numFmtId="164" fontId="9" fillId="8" borderId="1" xfId="4" applyNumberFormat="1" applyFont="1" applyFill="1" applyBorder="1" applyAlignment="1">
      <alignment vertical="center"/>
    </xf>
    <xf numFmtId="0" fontId="2" fillId="0" borderId="1" xfId="4" applyBorder="1" applyAlignment="1">
      <alignment vertical="center"/>
    </xf>
    <xf numFmtId="164" fontId="2" fillId="0" borderId="1" xfId="4" applyNumberFormat="1" applyFont="1" applyBorder="1" applyAlignment="1">
      <alignment vertical="center"/>
    </xf>
    <xf numFmtId="164" fontId="2" fillId="0" borderId="1" xfId="4" applyNumberFormat="1" applyBorder="1" applyAlignment="1">
      <alignment vertical="center"/>
    </xf>
    <xf numFmtId="0" fontId="2" fillId="0" borderId="1" xfId="4" applyFont="1" applyBorder="1" applyAlignment="1">
      <alignment vertical="center"/>
    </xf>
    <xf numFmtId="3" fontId="2" fillId="0" borderId="1" xfId="4" applyNumberFormat="1" applyBorder="1" applyAlignment="1">
      <alignment vertical="center"/>
    </xf>
    <xf numFmtId="0" fontId="2" fillId="0" borderId="0" xfId="4" applyAlignment="1">
      <alignment vertical="center"/>
    </xf>
    <xf numFmtId="0" fontId="9" fillId="0" borderId="1" xfId="4" applyFont="1" applyBorder="1" applyAlignment="1">
      <alignment vertical="center"/>
    </xf>
    <xf numFmtId="0" fontId="9" fillId="9" borderId="1" xfId="4" applyFont="1" applyFill="1" applyBorder="1" applyAlignment="1">
      <alignment vertical="center"/>
    </xf>
    <xf numFmtId="0" fontId="2" fillId="9" borderId="1" xfId="4" applyFill="1" applyBorder="1" applyAlignment="1">
      <alignment vertical="center"/>
    </xf>
    <xf numFmtId="0" fontId="18" fillId="0" borderId="0" xfId="5"/>
    <xf numFmtId="0" fontId="18" fillId="0" borderId="0" xfId="5" applyFont="1"/>
    <xf numFmtId="0" fontId="20" fillId="8" borderId="1" xfId="5" applyFont="1" applyFill="1" applyBorder="1" applyAlignment="1">
      <alignment horizontal="center"/>
    </xf>
    <xf numFmtId="0" fontId="20" fillId="8" borderId="1" xfId="5" applyFont="1" applyFill="1" applyBorder="1"/>
    <xf numFmtId="0" fontId="13" fillId="0" borderId="1" xfId="5" applyFont="1" applyBorder="1" applyAlignment="1">
      <alignment horizontal="justify" vertical="center" wrapText="1"/>
    </xf>
    <xf numFmtId="0" fontId="21" fillId="0" borderId="1" xfId="5" applyFont="1" applyBorder="1" applyAlignment="1">
      <alignment horizontal="center" vertical="center"/>
    </xf>
    <xf numFmtId="3" fontId="22" fillId="0" borderId="0" xfId="5" applyNumberFormat="1" applyFont="1"/>
    <xf numFmtId="3" fontId="21" fillId="0" borderId="1" xfId="5" applyNumberFormat="1" applyFont="1" applyBorder="1" applyAlignment="1">
      <alignment horizontal="center" vertical="center"/>
    </xf>
    <xf numFmtId="0" fontId="21" fillId="6" borderId="1" xfId="5" applyFont="1" applyFill="1" applyBorder="1" applyAlignment="1">
      <alignment horizontal="center" vertical="center"/>
    </xf>
    <xf numFmtId="0" fontId="23" fillId="0" borderId="0" xfId="5" applyFont="1"/>
    <xf numFmtId="1" fontId="21" fillId="0" borderId="1" xfId="5" applyNumberFormat="1" applyFont="1" applyBorder="1" applyAlignment="1">
      <alignment horizontal="center" vertical="center"/>
    </xf>
    <xf numFmtId="0" fontId="18" fillId="6" borderId="0" xfId="5" applyFill="1"/>
    <xf numFmtId="0" fontId="13" fillId="0" borderId="1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justify" vertical="center" wrapText="1"/>
    </xf>
    <xf numFmtId="0" fontId="21" fillId="0" borderId="0" xfId="5" applyFont="1" applyBorder="1" applyAlignment="1">
      <alignment horizontal="center" vertical="center"/>
    </xf>
    <xf numFmtId="0" fontId="17" fillId="0" borderId="12" xfId="5" applyFont="1" applyBorder="1" applyAlignment="1">
      <alignment horizontal="center" vertical="center" wrapText="1"/>
    </xf>
    <xf numFmtId="1" fontId="21" fillId="0" borderId="0" xfId="5" applyNumberFormat="1" applyFont="1" applyBorder="1" applyAlignment="1">
      <alignment horizontal="center" vertical="center"/>
    </xf>
    <xf numFmtId="0" fontId="20" fillId="8" borderId="1" xfId="5" applyFont="1" applyFill="1" applyBorder="1" applyAlignment="1">
      <alignment horizontal="center" vertical="center"/>
    </xf>
    <xf numFmtId="0" fontId="13" fillId="6" borderId="1" xfId="5" applyFont="1" applyFill="1" applyBorder="1" applyAlignment="1">
      <alignment horizontal="justify" vertical="center" wrapText="1"/>
    </xf>
    <xf numFmtId="1" fontId="17" fillId="6" borderId="0" xfId="5" applyNumberFormat="1" applyFont="1" applyFill="1" applyBorder="1" applyAlignment="1">
      <alignment horizontal="center" vertical="center" wrapText="1"/>
    </xf>
    <xf numFmtId="0" fontId="18" fillId="6" borderId="0" xfId="5" applyFont="1" applyFill="1"/>
    <xf numFmtId="0" fontId="17" fillId="6" borderId="12" xfId="5" applyFont="1" applyFill="1" applyBorder="1" applyAlignment="1">
      <alignment horizontal="center" vertical="center" wrapText="1"/>
    </xf>
    <xf numFmtId="0" fontId="21" fillId="6" borderId="0" xfId="5" applyFont="1" applyFill="1" applyBorder="1" applyAlignment="1">
      <alignment horizontal="center" vertical="center"/>
    </xf>
    <xf numFmtId="1" fontId="21" fillId="6" borderId="0" xfId="5" applyNumberFormat="1" applyFont="1" applyFill="1" applyBorder="1" applyAlignment="1">
      <alignment horizontal="center" vertical="center"/>
    </xf>
    <xf numFmtId="3" fontId="22" fillId="6" borderId="0" xfId="5" applyNumberFormat="1" applyFont="1" applyFill="1"/>
    <xf numFmtId="0" fontId="17" fillId="6" borderId="0" xfId="5" applyFont="1" applyFill="1" applyBorder="1" applyAlignment="1">
      <alignment horizontal="center" vertical="center" wrapText="1"/>
    </xf>
    <xf numFmtId="0" fontId="22" fillId="6" borderId="0" xfId="5" applyFont="1" applyFill="1"/>
    <xf numFmtId="0" fontId="23" fillId="6" borderId="0" xfId="5" applyFont="1" applyFill="1"/>
    <xf numFmtId="3" fontId="18" fillId="6" borderId="0" xfId="5" applyNumberFormat="1" applyFill="1"/>
    <xf numFmtId="0" fontId="22" fillId="6" borderId="0" xfId="5" applyFont="1" applyFill="1" applyAlignment="1">
      <alignment horizontal="center"/>
    </xf>
    <xf numFmtId="0" fontId="25" fillId="6" borderId="0" xfId="4" applyFont="1" applyFill="1" applyBorder="1" applyAlignment="1">
      <alignment vertical="center"/>
    </xf>
    <xf numFmtId="0" fontId="15" fillId="11" borderId="1" xfId="4" applyFont="1" applyFill="1" applyBorder="1" applyAlignment="1">
      <alignment vertical="center" wrapText="1"/>
    </xf>
    <xf numFmtId="0" fontId="15" fillId="11" borderId="1" xfId="4" applyFont="1" applyFill="1" applyBorder="1" applyAlignment="1">
      <alignment vertical="center"/>
    </xf>
    <xf numFmtId="0" fontId="12" fillId="10" borderId="1" xfId="4" applyFont="1" applyFill="1" applyBorder="1" applyAlignment="1">
      <alignment vertical="center"/>
    </xf>
    <xf numFmtId="0" fontId="12" fillId="10" borderId="1" xfId="4" applyFont="1" applyFill="1" applyBorder="1" applyAlignment="1">
      <alignment horizontal="right" vertical="center"/>
    </xf>
    <xf numFmtId="0" fontId="12" fillId="0" borderId="1" xfId="4" applyFont="1" applyFill="1" applyBorder="1" applyAlignment="1">
      <alignment horizontal="right" vertical="center"/>
    </xf>
    <xf numFmtId="0" fontId="12" fillId="6" borderId="1" xfId="4" applyFont="1" applyFill="1" applyBorder="1" applyAlignment="1">
      <alignment vertical="center"/>
    </xf>
    <xf numFmtId="0" fontId="14" fillId="6" borderId="1" xfId="4" applyFont="1" applyFill="1" applyBorder="1" applyAlignment="1">
      <alignment horizontal="right" vertical="center"/>
    </xf>
    <xf numFmtId="0" fontId="14" fillId="0" borderId="1" xfId="4" applyFont="1" applyBorder="1" applyAlignment="1">
      <alignment horizontal="right" vertical="center"/>
    </xf>
    <xf numFmtId="0" fontId="14" fillId="0" borderId="1" xfId="4" applyFont="1" applyFill="1" applyBorder="1" applyAlignment="1">
      <alignment horizontal="right" vertical="center"/>
    </xf>
    <xf numFmtId="0" fontId="2" fillId="0" borderId="1" xfId="4" applyFont="1" applyFill="1" applyBorder="1" applyAlignment="1">
      <alignment vertical="center"/>
    </xf>
    <xf numFmtId="0" fontId="14" fillId="0" borderId="1" xfId="4" applyFont="1" applyBorder="1" applyAlignment="1">
      <alignment vertical="center"/>
    </xf>
    <xf numFmtId="0" fontId="14" fillId="0" borderId="1" xfId="4" applyFont="1" applyBorder="1" applyAlignment="1">
      <alignment horizontal="left" vertical="center" wrapText="1"/>
    </xf>
    <xf numFmtId="0" fontId="14" fillId="0" borderId="1" xfId="4" applyFont="1" applyBorder="1" applyAlignment="1">
      <alignment horizontal="right" vertical="center" wrapText="1"/>
    </xf>
    <xf numFmtId="0" fontId="14" fillId="0" borderId="1" xfId="4" applyFont="1" applyBorder="1" applyAlignment="1">
      <alignment vertical="center" wrapText="1"/>
    </xf>
    <xf numFmtId="0" fontId="14" fillId="0" borderId="1" xfId="4" applyFont="1" applyFill="1" applyBorder="1" applyAlignment="1">
      <alignment vertical="center" wrapText="1"/>
    </xf>
    <xf numFmtId="0" fontId="12" fillId="6" borderId="1" xfId="4" applyFont="1" applyFill="1" applyBorder="1" applyAlignment="1">
      <alignment vertical="center" wrapText="1"/>
    </xf>
    <xf numFmtId="0" fontId="15" fillId="6" borderId="1" xfId="4" applyFont="1" applyFill="1" applyBorder="1" applyAlignment="1">
      <alignment vertical="center"/>
    </xf>
    <xf numFmtId="3" fontId="15" fillId="10" borderId="1" xfId="4" applyNumberFormat="1" applyFont="1" applyFill="1" applyBorder="1" applyAlignment="1">
      <alignment horizontal="right" vertical="center"/>
    </xf>
    <xf numFmtId="0" fontId="26" fillId="0" borderId="0" xfId="4" applyFont="1"/>
    <xf numFmtId="0" fontId="1" fillId="0" borderId="0" xfId="6"/>
    <xf numFmtId="0" fontId="1" fillId="0" borderId="1" xfId="6" applyBorder="1"/>
    <xf numFmtId="164" fontId="1" fillId="0" borderId="1" xfId="6" applyNumberFormat="1" applyBorder="1"/>
    <xf numFmtId="0" fontId="1" fillId="0" borderId="1" xfId="6" applyBorder="1" applyAlignment="1">
      <alignment wrapText="1"/>
    </xf>
    <xf numFmtId="0" fontId="1" fillId="0" borderId="1" xfId="6" applyFill="1" applyBorder="1"/>
    <xf numFmtId="0" fontId="18" fillId="0" borderId="1" xfId="6" applyFont="1" applyBorder="1" applyAlignment="1">
      <alignment horizontal="center"/>
    </xf>
    <xf numFmtId="0" fontId="1" fillId="0" borderId="1" xfId="6" applyBorder="1" applyAlignment="1">
      <alignment horizontal="center"/>
    </xf>
    <xf numFmtId="0" fontId="17" fillId="12" borderId="1" xfId="1" applyFont="1" applyFill="1" applyBorder="1" applyAlignment="1">
      <alignment horizontal="center" vertical="center" wrapText="1"/>
    </xf>
    <xf numFmtId="0" fontId="27" fillId="12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justify" vertical="center" wrapText="1"/>
    </xf>
    <xf numFmtId="0" fontId="28" fillId="0" borderId="1" xfId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2" xfId="1" applyFont="1" applyBorder="1" applyAlignment="1">
      <alignment horizontal="justify" vertical="center" wrapText="1"/>
    </xf>
    <xf numFmtId="0" fontId="13" fillId="0" borderId="8" xfId="0" applyFont="1" applyBorder="1" applyAlignment="1">
      <alignment horizontal="justify" vertical="center" wrapText="1"/>
    </xf>
    <xf numFmtId="0" fontId="29" fillId="0" borderId="1" xfId="0" applyFont="1" applyBorder="1" applyAlignment="1">
      <alignment horizontal="justify" vertical="center" wrapText="1"/>
    </xf>
    <xf numFmtId="0" fontId="13" fillId="0" borderId="13" xfId="1" applyFont="1" applyBorder="1" applyAlignment="1">
      <alignment horizontal="justify" vertical="center" wrapText="1"/>
    </xf>
    <xf numFmtId="0" fontId="13" fillId="0" borderId="14" xfId="1" applyFont="1" applyBorder="1" applyAlignment="1">
      <alignment horizontal="justify" vertical="center" wrapText="1"/>
    </xf>
    <xf numFmtId="0" fontId="13" fillId="0" borderId="5" xfId="1" applyFont="1" applyBorder="1" applyAlignment="1">
      <alignment horizontal="justify" vertical="center" wrapText="1"/>
    </xf>
    <xf numFmtId="0" fontId="13" fillId="0" borderId="8" xfId="1" applyFont="1" applyBorder="1" applyAlignment="1">
      <alignment horizontal="justify" vertical="center" wrapText="1"/>
    </xf>
    <xf numFmtId="2" fontId="13" fillId="0" borderId="1" xfId="1" applyNumberFormat="1" applyFont="1" applyBorder="1" applyAlignment="1">
      <alignment horizontal="justify" vertical="center" wrapText="1"/>
    </xf>
    <xf numFmtId="2" fontId="13" fillId="0" borderId="1" xfId="1" applyNumberFormat="1" applyFont="1" applyBorder="1" applyAlignment="1">
      <alignment horizontal="justify" vertical="center"/>
    </xf>
    <xf numFmtId="0" fontId="0" fillId="0" borderId="0" xfId="0" applyBorder="1"/>
    <xf numFmtId="0" fontId="5" fillId="3" borderId="0" xfId="1" applyFont="1" applyFill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2" fillId="7" borderId="2" xfId="3" applyFont="1" applyFill="1" applyBorder="1" applyAlignment="1">
      <alignment horizontal="center" vertical="center" wrapText="1"/>
    </xf>
    <xf numFmtId="0" fontId="12" fillId="7" borderId="3" xfId="3" applyFont="1" applyFill="1" applyBorder="1" applyAlignment="1">
      <alignment horizontal="center" vertical="center" wrapText="1"/>
    </xf>
    <xf numFmtId="0" fontId="12" fillId="7" borderId="8" xfId="3" applyFont="1" applyFill="1" applyBorder="1" applyAlignment="1">
      <alignment horizontal="center" vertical="center" wrapText="1"/>
    </xf>
    <xf numFmtId="0" fontId="12" fillId="7" borderId="7" xfId="3" applyFont="1" applyFill="1" applyBorder="1" applyAlignment="1">
      <alignment horizontal="center" vertical="center" wrapText="1"/>
    </xf>
    <xf numFmtId="0" fontId="12" fillId="7" borderId="5" xfId="3" applyFont="1" applyFill="1" applyBorder="1" applyAlignment="1">
      <alignment horizontal="center" vertical="center" wrapText="1"/>
    </xf>
    <xf numFmtId="0" fontId="12" fillId="7" borderId="1" xfId="3" applyFont="1" applyFill="1" applyBorder="1" applyAlignment="1">
      <alignment horizontal="justify" vertical="center"/>
    </xf>
    <xf numFmtId="0" fontId="12" fillId="7" borderId="8" xfId="3" applyFont="1" applyFill="1" applyBorder="1" applyAlignment="1">
      <alignment horizontal="center" vertical="center"/>
    </xf>
    <xf numFmtId="0" fontId="12" fillId="7" borderId="7" xfId="3" applyFont="1" applyFill="1" applyBorder="1" applyAlignment="1">
      <alignment horizontal="center" vertical="center"/>
    </xf>
    <xf numFmtId="0" fontId="12" fillId="7" borderId="5" xfId="3" applyFont="1" applyFill="1" applyBorder="1" applyAlignment="1">
      <alignment horizontal="center" vertical="center"/>
    </xf>
    <xf numFmtId="0" fontId="12" fillId="7" borderId="6" xfId="3" applyFont="1" applyFill="1" applyBorder="1" applyAlignment="1">
      <alignment horizontal="center" vertical="center" wrapText="1"/>
    </xf>
    <xf numFmtId="0" fontId="12" fillId="7" borderId="1" xfId="3" applyFont="1" applyFill="1" applyBorder="1" applyAlignment="1">
      <alignment horizontal="center" vertical="center"/>
    </xf>
    <xf numFmtId="0" fontId="12" fillId="7" borderId="1" xfId="3" applyFont="1" applyFill="1" applyBorder="1" applyAlignment="1">
      <alignment horizontal="justify" vertical="center" wrapText="1"/>
    </xf>
    <xf numFmtId="0" fontId="9" fillId="0" borderId="0" xfId="4" applyFont="1" applyAlignment="1">
      <alignment horizontal="center"/>
    </xf>
    <xf numFmtId="0" fontId="2" fillId="0" borderId="0" xfId="4" applyAlignment="1">
      <alignment horizontal="center" vertical="center"/>
    </xf>
    <xf numFmtId="0" fontId="2" fillId="0" borderId="9" xfId="4" applyBorder="1" applyAlignment="1">
      <alignment horizontal="center" vertical="center"/>
    </xf>
    <xf numFmtId="0" fontId="2" fillId="0" borderId="10" xfId="4" applyBorder="1" applyAlignment="1">
      <alignment horizontal="center" vertical="center"/>
    </xf>
    <xf numFmtId="0" fontId="2" fillId="0" borderId="11" xfId="4" applyBorder="1" applyAlignment="1">
      <alignment horizontal="center" vertical="center"/>
    </xf>
    <xf numFmtId="0" fontId="9" fillId="8" borderId="1" xfId="4" applyFont="1" applyFill="1" applyBorder="1" applyAlignment="1">
      <alignment horizontal="center" vertical="center"/>
    </xf>
    <xf numFmtId="0" fontId="9" fillId="8" borderId="1" xfId="4" applyFont="1" applyFill="1" applyBorder="1" applyAlignment="1">
      <alignment horizontal="center"/>
    </xf>
    <xf numFmtId="0" fontId="2" fillId="0" borderId="1" xfId="4" applyBorder="1" applyAlignment="1">
      <alignment horizontal="justify" vertical="center" wrapText="1"/>
    </xf>
    <xf numFmtId="0" fontId="22" fillId="8" borderId="8" xfId="6" applyFont="1" applyFill="1" applyBorder="1" applyAlignment="1">
      <alignment horizontal="center"/>
    </xf>
    <xf numFmtId="0" fontId="22" fillId="8" borderId="7" xfId="6" applyFont="1" applyFill="1" applyBorder="1" applyAlignment="1">
      <alignment horizontal="center"/>
    </xf>
    <xf numFmtId="0" fontId="22" fillId="8" borderId="5" xfId="6" applyFont="1" applyFill="1" applyBorder="1" applyAlignment="1">
      <alignment horizontal="center"/>
    </xf>
    <xf numFmtId="0" fontId="22" fillId="8" borderId="8" xfId="6" applyFont="1" applyFill="1" applyBorder="1" applyAlignment="1"/>
    <xf numFmtId="0" fontId="22" fillId="8" borderId="7" xfId="6" applyFont="1" applyFill="1" applyBorder="1" applyAlignment="1"/>
    <xf numFmtId="0" fontId="22" fillId="8" borderId="5" xfId="6" applyFont="1" applyFill="1" applyBorder="1" applyAlignment="1"/>
    <xf numFmtId="0" fontId="22" fillId="8" borderId="8" xfId="6" applyFont="1" applyFill="1" applyBorder="1" applyAlignment="1">
      <alignment horizontal="left"/>
    </xf>
    <xf numFmtId="0" fontId="22" fillId="8" borderId="7" xfId="6" applyFont="1" applyFill="1" applyBorder="1" applyAlignment="1">
      <alignment horizontal="left"/>
    </xf>
    <xf numFmtId="0" fontId="22" fillId="8" borderId="5" xfId="6" applyFont="1" applyFill="1" applyBorder="1" applyAlignment="1">
      <alignment horizontal="left"/>
    </xf>
    <xf numFmtId="0" fontId="19" fillId="0" borderId="0" xfId="5" applyFont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20" fillId="8" borderId="1" xfId="5" applyFont="1" applyFill="1" applyBorder="1" applyAlignment="1">
      <alignment horizontal="center" vertical="center"/>
    </xf>
    <xf numFmtId="0" fontId="20" fillId="8" borderId="1" xfId="5" applyFont="1" applyFill="1" applyBorder="1" applyAlignment="1">
      <alignment horizontal="center" vertical="center" wrapText="1"/>
    </xf>
    <xf numFmtId="0" fontId="20" fillId="8" borderId="8" xfId="5" applyFont="1" applyFill="1" applyBorder="1" applyAlignment="1">
      <alignment horizontal="center" vertical="center" wrapText="1"/>
    </xf>
    <xf numFmtId="0" fontId="20" fillId="8" borderId="7" xfId="5" applyFont="1" applyFill="1" applyBorder="1" applyAlignment="1">
      <alignment horizontal="center" vertical="center" wrapText="1"/>
    </xf>
    <xf numFmtId="0" fontId="20" fillId="8" borderId="5" xfId="5" applyFont="1" applyFill="1" applyBorder="1" applyAlignment="1">
      <alignment horizontal="center" vertical="center" wrapText="1"/>
    </xf>
    <xf numFmtId="0" fontId="24" fillId="0" borderId="0" xfId="5" applyFont="1" applyAlignment="1">
      <alignment horizontal="center" vertical="center"/>
    </xf>
    <xf numFmtId="0" fontId="24" fillId="0" borderId="10" xfId="5" applyFont="1" applyBorder="1" applyAlignment="1">
      <alignment horizontal="center" vertical="center"/>
    </xf>
    <xf numFmtId="0" fontId="27" fillId="2" borderId="8" xfId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7" fillId="2" borderId="1" xfId="1" applyFont="1" applyFill="1" applyBorder="1" applyAlignment="1">
      <alignment horizontal="center"/>
    </xf>
  </cellXfs>
  <cellStyles count="7">
    <cellStyle name="Normal" xfId="0" builtinId="0"/>
    <cellStyle name="Normal 2" xfId="1"/>
    <cellStyle name="Normal 3" xfId="2"/>
    <cellStyle name="Normal 3 2" xfId="4"/>
    <cellStyle name="Normal 4" xfId="3"/>
    <cellStyle name="Normal 5" xfId="5"/>
    <cellStyle name="Normal 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</xdr:colOff>
      <xdr:row>0</xdr:row>
      <xdr:rowOff>25978</xdr:rowOff>
    </xdr:from>
    <xdr:to>
      <xdr:col>11</xdr:col>
      <xdr:colOff>424295</xdr:colOff>
      <xdr:row>4</xdr:row>
      <xdr:rowOff>95250</xdr:rowOff>
    </xdr:to>
    <xdr:pic>
      <xdr:nvPicPr>
        <xdr:cNvPr id="2" name="0 Imagen" descr="encabezado PIFI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977" y="25978"/>
          <a:ext cx="8295409" cy="796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20</xdr:col>
      <xdr:colOff>266701</xdr:colOff>
      <xdr:row>4</xdr:row>
      <xdr:rowOff>19051</xdr:rowOff>
    </xdr:to>
    <xdr:pic>
      <xdr:nvPicPr>
        <xdr:cNvPr id="2" name="0 Imagen" descr="encabezado PIFI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1"/>
          <a:ext cx="7829550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0</xdr:colOff>
      <xdr:row>4</xdr:row>
      <xdr:rowOff>9525</xdr:rowOff>
    </xdr:to>
    <xdr:pic>
      <xdr:nvPicPr>
        <xdr:cNvPr id="2" name="0 Imagen" descr="encabezado PIFI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3677900" cy="771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2</xdr:col>
      <xdr:colOff>1438274</xdr:colOff>
      <xdr:row>3</xdr:row>
      <xdr:rowOff>114300</xdr:rowOff>
    </xdr:to>
    <xdr:pic>
      <xdr:nvPicPr>
        <xdr:cNvPr id="2" name="0 Imagen" descr="encabezado PIFI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0"/>
          <a:ext cx="5153024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47624</xdr:rowOff>
    </xdr:from>
    <xdr:to>
      <xdr:col>31</xdr:col>
      <xdr:colOff>28575</xdr:colOff>
      <xdr:row>7</xdr:row>
      <xdr:rowOff>123824</xdr:rowOff>
    </xdr:to>
    <xdr:pic>
      <xdr:nvPicPr>
        <xdr:cNvPr id="2" name="0 Imagen" descr="encabezado PIFI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4"/>
          <a:ext cx="12496800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47</xdr:row>
      <xdr:rowOff>57150</xdr:rowOff>
    </xdr:from>
    <xdr:to>
      <xdr:col>36</xdr:col>
      <xdr:colOff>200024</xdr:colOff>
      <xdr:row>54</xdr:row>
      <xdr:rowOff>9525</xdr:rowOff>
    </xdr:to>
    <xdr:pic>
      <xdr:nvPicPr>
        <xdr:cNvPr id="3" name="0 Imagen" descr="encabezado PIFI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0582275"/>
          <a:ext cx="14582774" cy="1085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38101</xdr:rowOff>
    </xdr:from>
    <xdr:to>
      <xdr:col>4</xdr:col>
      <xdr:colOff>742950</xdr:colOff>
      <xdr:row>3</xdr:row>
      <xdr:rowOff>57151</xdr:rowOff>
    </xdr:to>
    <xdr:pic>
      <xdr:nvPicPr>
        <xdr:cNvPr id="2" name="0 Imagen" descr="encabezado PIFI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1" y="38101"/>
          <a:ext cx="5400674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203"/>
  <sheetViews>
    <sheetView zoomScale="110" zoomScaleNormal="110" workbookViewId="0">
      <selection activeCell="N15" sqref="N15"/>
    </sheetView>
  </sheetViews>
  <sheetFormatPr baseColWidth="10" defaultColWidth="11.42578125" defaultRowHeight="14.25" x14ac:dyDescent="0.2"/>
  <cols>
    <col min="1" max="1" width="31.5703125" style="1" customWidth="1"/>
    <col min="2" max="2" width="7.85546875" style="1" customWidth="1"/>
    <col min="3" max="3" width="11" style="1" customWidth="1"/>
    <col min="4" max="4" width="8.5703125" style="1" customWidth="1"/>
    <col min="5" max="5" width="8.85546875" style="1" customWidth="1"/>
    <col min="6" max="6" width="8.140625" style="1" customWidth="1"/>
    <col min="7" max="7" width="9.42578125" style="1" customWidth="1"/>
    <col min="8" max="8" width="9" style="1" customWidth="1"/>
    <col min="9" max="9" width="8.5703125" style="1" customWidth="1"/>
    <col min="10" max="10" width="7.28515625" style="1" customWidth="1"/>
    <col min="11" max="11" width="8" style="1" customWidth="1"/>
    <col min="12" max="12" width="6.7109375" style="1" customWidth="1"/>
    <col min="13" max="14" width="13.5703125" style="1" customWidth="1"/>
    <col min="15" max="16384" width="11.42578125" style="1"/>
  </cols>
  <sheetData>
    <row r="6" spans="1:12" ht="15" x14ac:dyDescent="0.2">
      <c r="A6" s="138" t="s">
        <v>1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8" spans="1:12" ht="57" customHeight="1" x14ac:dyDescent="0.2">
      <c r="A8" s="139" t="s">
        <v>0</v>
      </c>
      <c r="B8" s="140" t="s">
        <v>2</v>
      </c>
      <c r="C8" s="142" t="s">
        <v>3</v>
      </c>
      <c r="D8" s="142"/>
      <c r="E8" s="142" t="s">
        <v>4</v>
      </c>
      <c r="F8" s="142"/>
      <c r="G8" s="142" t="s">
        <v>5</v>
      </c>
      <c r="H8" s="142"/>
      <c r="I8" s="142" t="s">
        <v>6</v>
      </c>
      <c r="J8" s="142"/>
      <c r="K8" s="142" t="s">
        <v>7</v>
      </c>
      <c r="L8" s="142"/>
    </row>
    <row r="9" spans="1:12" ht="24" customHeight="1" x14ac:dyDescent="0.2">
      <c r="A9" s="139"/>
      <c r="B9" s="141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</row>
    <row r="10" spans="1:12" s="4" customFormat="1" x14ac:dyDescent="0.2">
      <c r="A10" s="5" t="s">
        <v>10</v>
      </c>
      <c r="B10" s="6">
        <v>14</v>
      </c>
      <c r="C10" s="7">
        <v>14</v>
      </c>
      <c r="D10" s="7"/>
      <c r="E10" s="7">
        <v>14</v>
      </c>
      <c r="F10" s="7"/>
      <c r="G10" s="7">
        <v>14</v>
      </c>
      <c r="H10" s="7"/>
      <c r="I10" s="7">
        <v>14</v>
      </c>
      <c r="J10" s="7"/>
      <c r="K10" s="7">
        <v>14</v>
      </c>
      <c r="L10" s="7"/>
    </row>
    <row r="11" spans="1:12" s="4" customFormat="1" ht="24" x14ac:dyDescent="0.2">
      <c r="A11" s="5" t="s">
        <v>31</v>
      </c>
      <c r="B11" s="6">
        <v>5</v>
      </c>
      <c r="C11" s="7">
        <v>5</v>
      </c>
      <c r="D11" s="7"/>
      <c r="E11" s="7">
        <v>5</v>
      </c>
      <c r="F11" s="7"/>
      <c r="G11" s="7">
        <v>5</v>
      </c>
      <c r="H11" s="7"/>
      <c r="I11" s="7"/>
      <c r="J11" s="7">
        <v>5</v>
      </c>
      <c r="K11" s="7">
        <v>5</v>
      </c>
      <c r="L11" s="7"/>
    </row>
    <row r="12" spans="1:12" s="4" customFormat="1" ht="27.75" customHeight="1" x14ac:dyDescent="0.2">
      <c r="A12" s="5" t="s">
        <v>34</v>
      </c>
      <c r="B12" s="6">
        <v>10</v>
      </c>
      <c r="C12" s="6">
        <v>10</v>
      </c>
      <c r="D12" s="7"/>
      <c r="E12" s="7">
        <v>10</v>
      </c>
      <c r="F12" s="7"/>
      <c r="G12" s="7">
        <v>10</v>
      </c>
      <c r="H12" s="7"/>
      <c r="I12" s="7"/>
      <c r="J12" s="7">
        <v>10</v>
      </c>
      <c r="K12" s="7">
        <v>10</v>
      </c>
      <c r="L12" s="7"/>
    </row>
    <row r="13" spans="1:12" s="4" customFormat="1" ht="24" x14ac:dyDescent="0.2">
      <c r="A13" s="5" t="s">
        <v>20</v>
      </c>
      <c r="B13" s="6">
        <v>4</v>
      </c>
      <c r="C13" s="7">
        <v>4</v>
      </c>
      <c r="D13" s="7"/>
      <c r="E13" s="7">
        <v>4</v>
      </c>
      <c r="F13" s="7"/>
      <c r="G13" s="7">
        <v>4</v>
      </c>
      <c r="H13" s="7"/>
      <c r="I13" s="7"/>
      <c r="J13" s="7">
        <v>4</v>
      </c>
      <c r="K13" s="7">
        <v>4</v>
      </c>
      <c r="L13" s="7"/>
    </row>
    <row r="14" spans="1:12" s="4" customFormat="1" ht="24" x14ac:dyDescent="0.2">
      <c r="A14" s="5" t="s">
        <v>35</v>
      </c>
      <c r="B14" s="6">
        <v>5</v>
      </c>
      <c r="C14" s="7">
        <v>5</v>
      </c>
      <c r="D14" s="7"/>
      <c r="E14" s="7">
        <v>5</v>
      </c>
      <c r="F14" s="7"/>
      <c r="G14" s="7">
        <v>5</v>
      </c>
      <c r="H14" s="7"/>
      <c r="I14" s="7"/>
      <c r="J14" s="7">
        <v>5</v>
      </c>
      <c r="K14" s="7">
        <v>5</v>
      </c>
      <c r="L14" s="7"/>
    </row>
    <row r="15" spans="1:12" s="4" customFormat="1" ht="24" x14ac:dyDescent="0.2">
      <c r="A15" s="5" t="s">
        <v>21</v>
      </c>
      <c r="B15" s="6">
        <v>5</v>
      </c>
      <c r="C15" s="7">
        <v>5</v>
      </c>
      <c r="D15" s="7"/>
      <c r="E15" s="7">
        <v>5</v>
      </c>
      <c r="F15" s="7"/>
      <c r="G15" s="7">
        <v>4</v>
      </c>
      <c r="H15" s="7">
        <v>1</v>
      </c>
      <c r="I15" s="7">
        <v>1</v>
      </c>
      <c r="J15" s="7">
        <v>4</v>
      </c>
      <c r="K15" s="7">
        <v>4</v>
      </c>
      <c r="L15" s="7">
        <v>1</v>
      </c>
    </row>
    <row r="16" spans="1:12" s="4" customFormat="1" ht="24" customHeight="1" x14ac:dyDescent="0.2">
      <c r="A16" s="5" t="s">
        <v>22</v>
      </c>
      <c r="B16" s="6">
        <v>3</v>
      </c>
      <c r="C16" s="7">
        <v>3</v>
      </c>
      <c r="D16" s="7"/>
      <c r="E16" s="7">
        <v>3</v>
      </c>
      <c r="F16" s="7"/>
      <c r="G16" s="7">
        <v>3</v>
      </c>
      <c r="H16" s="7"/>
      <c r="I16" s="7">
        <v>3</v>
      </c>
      <c r="J16" s="7"/>
      <c r="K16" s="7">
        <v>3</v>
      </c>
      <c r="L16" s="7"/>
    </row>
    <row r="17" spans="1:12" s="4" customFormat="1" ht="24" x14ac:dyDescent="0.2">
      <c r="A17" s="5" t="s">
        <v>23</v>
      </c>
      <c r="B17" s="6">
        <v>4</v>
      </c>
      <c r="C17" s="7">
        <v>4</v>
      </c>
      <c r="D17" s="7"/>
      <c r="E17" s="7">
        <v>4</v>
      </c>
      <c r="F17" s="7"/>
      <c r="G17" s="7">
        <v>4</v>
      </c>
      <c r="H17" s="7"/>
      <c r="I17" s="7"/>
      <c r="J17" s="7">
        <v>4</v>
      </c>
      <c r="K17" s="7"/>
      <c r="L17" s="7">
        <v>4</v>
      </c>
    </row>
    <row r="18" spans="1:12" s="4" customFormat="1" x14ac:dyDescent="0.2">
      <c r="A18" s="5" t="s">
        <v>24</v>
      </c>
      <c r="B18" s="6">
        <v>18</v>
      </c>
      <c r="C18" s="7">
        <v>18</v>
      </c>
      <c r="D18" s="7"/>
      <c r="E18" s="7">
        <v>15</v>
      </c>
      <c r="F18" s="7">
        <v>3</v>
      </c>
      <c r="G18" s="7">
        <v>15</v>
      </c>
      <c r="H18" s="7">
        <v>3</v>
      </c>
      <c r="I18" s="7">
        <v>12</v>
      </c>
      <c r="J18" s="7">
        <v>6</v>
      </c>
      <c r="K18" s="7">
        <v>15</v>
      </c>
      <c r="L18" s="7">
        <v>3</v>
      </c>
    </row>
    <row r="19" spans="1:12" s="4" customFormat="1" x14ac:dyDescent="0.2">
      <c r="A19" s="5" t="s">
        <v>25</v>
      </c>
      <c r="B19" s="6">
        <v>6</v>
      </c>
      <c r="C19" s="7">
        <v>6</v>
      </c>
      <c r="D19" s="7"/>
      <c r="E19" s="7">
        <v>6</v>
      </c>
      <c r="F19" s="7"/>
      <c r="G19" s="7">
        <v>6</v>
      </c>
      <c r="H19" s="7"/>
      <c r="I19" s="7">
        <v>6</v>
      </c>
      <c r="J19" s="7"/>
      <c r="K19" s="7">
        <v>6</v>
      </c>
      <c r="L19" s="7"/>
    </row>
    <row r="20" spans="1:12" s="4" customFormat="1" x14ac:dyDescent="0.2">
      <c r="A20" s="5" t="s">
        <v>11</v>
      </c>
      <c r="B20" s="6">
        <v>4</v>
      </c>
      <c r="C20" s="7">
        <v>4</v>
      </c>
      <c r="D20" s="7"/>
      <c r="E20" s="7">
        <v>4</v>
      </c>
      <c r="F20" s="7"/>
      <c r="G20" s="7">
        <v>4</v>
      </c>
      <c r="H20" s="7"/>
      <c r="I20" s="7">
        <v>4</v>
      </c>
      <c r="J20" s="7"/>
      <c r="K20" s="7">
        <v>4</v>
      </c>
      <c r="L20" s="7"/>
    </row>
    <row r="21" spans="1:12" s="4" customFormat="1" x14ac:dyDescent="0.2">
      <c r="A21" s="5" t="s">
        <v>12</v>
      </c>
      <c r="B21" s="6">
        <v>15</v>
      </c>
      <c r="C21" s="7">
        <v>15</v>
      </c>
      <c r="D21" s="7"/>
      <c r="E21" s="7">
        <v>15</v>
      </c>
      <c r="F21" s="7"/>
      <c r="G21" s="7">
        <v>15</v>
      </c>
      <c r="H21" s="7"/>
      <c r="I21" s="7">
        <v>15</v>
      </c>
      <c r="J21" s="7"/>
      <c r="K21" s="7">
        <v>15</v>
      </c>
      <c r="L21" s="7"/>
    </row>
    <row r="22" spans="1:12" s="4" customFormat="1" ht="30.75" customHeight="1" x14ac:dyDescent="0.2">
      <c r="A22" s="5" t="s">
        <v>36</v>
      </c>
      <c r="B22" s="6">
        <v>5</v>
      </c>
      <c r="C22" s="7">
        <v>5</v>
      </c>
      <c r="D22" s="7"/>
      <c r="E22" s="7">
        <v>5</v>
      </c>
      <c r="F22" s="7"/>
      <c r="G22" s="7">
        <v>5</v>
      </c>
      <c r="H22" s="7"/>
      <c r="I22" s="7">
        <v>5</v>
      </c>
      <c r="J22" s="7"/>
      <c r="K22" s="7">
        <v>5</v>
      </c>
      <c r="L22" s="7"/>
    </row>
    <row r="23" spans="1:12" s="4" customFormat="1" ht="24" x14ac:dyDescent="0.2">
      <c r="A23" s="5" t="s">
        <v>27</v>
      </c>
      <c r="B23" s="6">
        <v>7</v>
      </c>
      <c r="C23" s="7">
        <v>7</v>
      </c>
      <c r="D23" s="7"/>
      <c r="E23" s="7">
        <v>7</v>
      </c>
      <c r="F23" s="7"/>
      <c r="G23" s="7">
        <v>7</v>
      </c>
      <c r="H23" s="7"/>
      <c r="I23" s="7">
        <v>7</v>
      </c>
      <c r="J23" s="7"/>
      <c r="K23" s="7">
        <v>7</v>
      </c>
      <c r="L23" s="7"/>
    </row>
    <row r="24" spans="1:12" s="4" customFormat="1" ht="24" x14ac:dyDescent="0.2">
      <c r="A24" s="5" t="s">
        <v>32</v>
      </c>
      <c r="B24" s="6">
        <v>4</v>
      </c>
      <c r="C24" s="7">
        <v>4</v>
      </c>
      <c r="D24" s="7"/>
      <c r="E24" s="7">
        <v>4</v>
      </c>
      <c r="F24" s="7"/>
      <c r="G24" s="7">
        <v>3</v>
      </c>
      <c r="H24" s="7">
        <v>1</v>
      </c>
      <c r="I24" s="7">
        <v>4</v>
      </c>
      <c r="J24" s="7"/>
      <c r="K24" s="7">
        <v>4</v>
      </c>
      <c r="L24" s="7"/>
    </row>
    <row r="25" spans="1:12" s="4" customFormat="1" ht="24" x14ac:dyDescent="0.2">
      <c r="A25" s="5" t="s">
        <v>28</v>
      </c>
      <c r="B25" s="6">
        <v>7</v>
      </c>
      <c r="C25" s="7">
        <v>7</v>
      </c>
      <c r="D25" s="7"/>
      <c r="E25" s="7">
        <v>7</v>
      </c>
      <c r="F25" s="7"/>
      <c r="G25" s="7">
        <v>7</v>
      </c>
      <c r="H25" s="7"/>
      <c r="I25" s="7">
        <v>7</v>
      </c>
      <c r="J25" s="7"/>
      <c r="K25" s="7">
        <v>7</v>
      </c>
      <c r="L25" s="7"/>
    </row>
    <row r="26" spans="1:12" s="4" customFormat="1" ht="24" x14ac:dyDescent="0.2">
      <c r="A26" s="5" t="s">
        <v>33</v>
      </c>
      <c r="B26" s="6">
        <v>13</v>
      </c>
      <c r="C26" s="7">
        <v>7</v>
      </c>
      <c r="D26" s="7">
        <v>6</v>
      </c>
      <c r="E26" s="7">
        <v>13</v>
      </c>
      <c r="F26" s="7"/>
      <c r="G26" s="7">
        <v>13</v>
      </c>
      <c r="H26" s="7"/>
      <c r="I26" s="7">
        <v>13</v>
      </c>
      <c r="J26" s="7"/>
      <c r="K26" s="7">
        <v>13</v>
      </c>
      <c r="L26" s="7"/>
    </row>
    <row r="27" spans="1:12" s="4" customFormat="1" ht="24" x14ac:dyDescent="0.2">
      <c r="A27" s="5" t="s">
        <v>26</v>
      </c>
      <c r="B27" s="6">
        <v>8</v>
      </c>
      <c r="C27" s="7">
        <v>8</v>
      </c>
      <c r="D27" s="7"/>
      <c r="E27" s="7">
        <v>8</v>
      </c>
      <c r="F27" s="7"/>
      <c r="G27" s="7"/>
      <c r="H27" s="7">
        <v>8</v>
      </c>
      <c r="I27" s="7">
        <v>8</v>
      </c>
      <c r="J27" s="7"/>
      <c r="K27" s="7">
        <v>5</v>
      </c>
      <c r="L27" s="7">
        <v>3</v>
      </c>
    </row>
    <row r="28" spans="1:12" s="4" customFormat="1" x14ac:dyDescent="0.2">
      <c r="A28" s="5" t="s">
        <v>13</v>
      </c>
      <c r="B28" s="6">
        <v>17</v>
      </c>
      <c r="C28" s="7">
        <v>17</v>
      </c>
      <c r="D28" s="7"/>
      <c r="E28" s="7">
        <v>17</v>
      </c>
      <c r="F28" s="7"/>
      <c r="G28" s="7">
        <v>10</v>
      </c>
      <c r="H28" s="7">
        <v>7</v>
      </c>
      <c r="I28" s="7">
        <v>15</v>
      </c>
      <c r="J28" s="7">
        <v>2</v>
      </c>
      <c r="K28" s="7">
        <v>16</v>
      </c>
      <c r="L28" s="7">
        <v>1</v>
      </c>
    </row>
    <row r="29" spans="1:12" s="4" customFormat="1" x14ac:dyDescent="0.2">
      <c r="A29" s="5" t="s">
        <v>14</v>
      </c>
      <c r="B29" s="6">
        <v>13</v>
      </c>
      <c r="C29" s="7">
        <v>13</v>
      </c>
      <c r="D29" s="7"/>
      <c r="E29" s="7"/>
      <c r="F29" s="7">
        <v>13</v>
      </c>
      <c r="G29" s="7">
        <v>13</v>
      </c>
      <c r="H29" s="7"/>
      <c r="I29" s="7">
        <v>13</v>
      </c>
      <c r="J29" s="7"/>
      <c r="K29" s="7">
        <v>13</v>
      </c>
      <c r="L29" s="7"/>
    </row>
    <row r="30" spans="1:12" s="4" customFormat="1" x14ac:dyDescent="0.2">
      <c r="A30" s="5" t="s">
        <v>29</v>
      </c>
      <c r="B30" s="6">
        <v>14</v>
      </c>
      <c r="C30" s="7">
        <v>14</v>
      </c>
      <c r="D30" s="7"/>
      <c r="E30" s="7">
        <v>14</v>
      </c>
      <c r="F30" s="7"/>
      <c r="G30" s="7">
        <v>6</v>
      </c>
      <c r="H30" s="7">
        <v>8</v>
      </c>
      <c r="I30" s="7">
        <v>9</v>
      </c>
      <c r="J30" s="7">
        <v>5</v>
      </c>
      <c r="K30" s="7">
        <v>8</v>
      </c>
      <c r="L30" s="7">
        <v>6</v>
      </c>
    </row>
    <row r="31" spans="1:12" s="4" customFormat="1" ht="18" customHeight="1" x14ac:dyDescent="0.2">
      <c r="A31" s="5" t="s">
        <v>15</v>
      </c>
      <c r="B31" s="6">
        <v>11</v>
      </c>
      <c r="C31" s="7">
        <v>11</v>
      </c>
      <c r="D31" s="7"/>
      <c r="E31" s="7">
        <v>11</v>
      </c>
      <c r="F31" s="7"/>
      <c r="G31" s="7">
        <v>11</v>
      </c>
      <c r="H31" s="7"/>
      <c r="I31" s="7">
        <v>11</v>
      </c>
      <c r="J31" s="7"/>
      <c r="K31" s="7">
        <v>11</v>
      </c>
      <c r="L31" s="7"/>
    </row>
    <row r="32" spans="1:12" s="4" customFormat="1" ht="24" x14ac:dyDescent="0.2">
      <c r="A32" s="5" t="s">
        <v>30</v>
      </c>
      <c r="B32" s="6">
        <v>3</v>
      </c>
      <c r="C32" s="7">
        <v>3</v>
      </c>
      <c r="D32" s="7"/>
      <c r="E32" s="7">
        <v>3</v>
      </c>
      <c r="F32" s="7"/>
      <c r="G32" s="7">
        <v>3</v>
      </c>
      <c r="H32" s="7"/>
      <c r="I32" s="7"/>
      <c r="J32" s="7">
        <v>3</v>
      </c>
      <c r="K32" s="7">
        <v>3</v>
      </c>
      <c r="L32" s="7"/>
    </row>
    <row r="33" spans="1:12" s="4" customFormat="1" x14ac:dyDescent="0.2">
      <c r="A33" s="5" t="s">
        <v>16</v>
      </c>
      <c r="B33" s="6">
        <v>3</v>
      </c>
      <c r="C33" s="7">
        <v>3</v>
      </c>
      <c r="D33" s="7"/>
      <c r="E33" s="7">
        <v>3</v>
      </c>
      <c r="F33" s="7"/>
      <c r="G33" s="7">
        <v>3</v>
      </c>
      <c r="H33" s="7"/>
      <c r="I33" s="7">
        <v>3</v>
      </c>
      <c r="J33" s="7"/>
      <c r="K33" s="7">
        <v>3</v>
      </c>
      <c r="L33" s="7"/>
    </row>
    <row r="34" spans="1:12" s="4" customFormat="1" x14ac:dyDescent="0.2">
      <c r="A34" s="5" t="s">
        <v>17</v>
      </c>
      <c r="B34" s="6">
        <v>2</v>
      </c>
      <c r="C34" s="7">
        <v>1</v>
      </c>
      <c r="D34" s="7">
        <v>1</v>
      </c>
      <c r="E34" s="7">
        <v>2</v>
      </c>
      <c r="F34" s="7"/>
      <c r="G34" s="7"/>
      <c r="H34" s="7">
        <v>2</v>
      </c>
      <c r="I34" s="7">
        <v>1</v>
      </c>
      <c r="J34" s="7">
        <v>1</v>
      </c>
      <c r="K34" s="7">
        <v>2</v>
      </c>
      <c r="L34" s="7"/>
    </row>
    <row r="35" spans="1:12" s="4" customFormat="1" ht="24" x14ac:dyDescent="0.2">
      <c r="A35" s="5" t="s">
        <v>18</v>
      </c>
      <c r="B35" s="6">
        <v>2</v>
      </c>
      <c r="C35" s="7">
        <v>2</v>
      </c>
      <c r="D35" s="7"/>
      <c r="E35" s="7">
        <v>2</v>
      </c>
      <c r="F35" s="7"/>
      <c r="G35" s="7">
        <v>2</v>
      </c>
      <c r="H35" s="7"/>
      <c r="I35" s="7">
        <v>2</v>
      </c>
      <c r="J35" s="7"/>
      <c r="K35" s="7">
        <v>2</v>
      </c>
      <c r="L35" s="7"/>
    </row>
    <row r="36" spans="1:12" s="4" customFormat="1" ht="29.25" customHeight="1" x14ac:dyDescent="0.2">
      <c r="A36" s="5" t="s">
        <v>19</v>
      </c>
      <c r="B36" s="6">
        <v>5</v>
      </c>
      <c r="C36" s="7">
        <v>5</v>
      </c>
      <c r="D36" s="7"/>
      <c r="E36" s="7">
        <v>5</v>
      </c>
      <c r="F36" s="7"/>
      <c r="G36" s="7">
        <v>5</v>
      </c>
      <c r="H36" s="7"/>
      <c r="I36" s="7">
        <v>5</v>
      </c>
      <c r="J36" s="7"/>
      <c r="K36" s="7">
        <v>5</v>
      </c>
      <c r="L36" s="7"/>
    </row>
    <row r="37" spans="1:12" ht="15" x14ac:dyDescent="0.2">
      <c r="A37" s="8"/>
      <c r="B37" s="9">
        <f>SUM(B10:B36)</f>
        <v>207</v>
      </c>
      <c r="C37" s="9">
        <f t="shared" ref="C37:L37" si="0">SUM(C10:C36)</f>
        <v>200</v>
      </c>
      <c r="D37" s="9">
        <f t="shared" si="0"/>
        <v>7</v>
      </c>
      <c r="E37" s="9">
        <f t="shared" si="0"/>
        <v>191</v>
      </c>
      <c r="F37" s="9">
        <f t="shared" si="0"/>
        <v>16</v>
      </c>
      <c r="G37" s="9">
        <f t="shared" si="0"/>
        <v>177</v>
      </c>
      <c r="H37" s="9">
        <f t="shared" si="0"/>
        <v>30</v>
      </c>
      <c r="I37" s="9">
        <f t="shared" si="0"/>
        <v>158</v>
      </c>
      <c r="J37" s="9">
        <f t="shared" si="0"/>
        <v>49</v>
      </c>
      <c r="K37" s="9">
        <f t="shared" si="0"/>
        <v>189</v>
      </c>
      <c r="L37" s="9">
        <f t="shared" si="0"/>
        <v>18</v>
      </c>
    </row>
    <row r="38" spans="1:12" x14ac:dyDescent="0.2">
      <c r="A38" s="3"/>
    </row>
    <row r="39" spans="1:12" x14ac:dyDescent="0.2">
      <c r="A39" s="3"/>
    </row>
    <row r="40" spans="1:12" x14ac:dyDescent="0.2">
      <c r="A40" s="3"/>
    </row>
    <row r="41" spans="1:12" x14ac:dyDescent="0.2">
      <c r="A41" s="3"/>
    </row>
    <row r="42" spans="1:12" x14ac:dyDescent="0.2">
      <c r="A42" s="3"/>
    </row>
    <row r="43" spans="1:12" x14ac:dyDescent="0.2">
      <c r="A43" s="3"/>
    </row>
    <row r="44" spans="1:12" x14ac:dyDescent="0.2">
      <c r="A44" s="3"/>
    </row>
    <row r="45" spans="1:12" x14ac:dyDescent="0.2">
      <c r="A45" s="3"/>
    </row>
    <row r="46" spans="1:12" x14ac:dyDescent="0.2">
      <c r="A46" s="3"/>
    </row>
    <row r="47" spans="1:12" x14ac:dyDescent="0.2">
      <c r="A47" s="3"/>
    </row>
    <row r="48" spans="1:12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  <row r="81" spans="1:1" x14ac:dyDescent="0.2">
      <c r="A81" s="3"/>
    </row>
    <row r="82" spans="1:1" x14ac:dyDescent="0.2">
      <c r="A82" s="3"/>
    </row>
    <row r="83" spans="1:1" x14ac:dyDescent="0.2">
      <c r="A83" s="3"/>
    </row>
    <row r="84" spans="1:1" x14ac:dyDescent="0.2">
      <c r="A84" s="3"/>
    </row>
    <row r="85" spans="1:1" x14ac:dyDescent="0.2">
      <c r="A85" s="3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6" spans="1:1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10" spans="1:1" x14ac:dyDescent="0.2">
      <c r="A110" s="3"/>
    </row>
    <row r="111" spans="1:1" x14ac:dyDescent="0.2">
      <c r="A111" s="3"/>
    </row>
    <row r="112" spans="1:1" x14ac:dyDescent="0.2">
      <c r="A112" s="3"/>
    </row>
    <row r="113" spans="1:1" x14ac:dyDescent="0.2">
      <c r="A113" s="3"/>
    </row>
    <row r="114" spans="1:1" x14ac:dyDescent="0.2">
      <c r="A114" s="3"/>
    </row>
    <row r="115" spans="1:1" x14ac:dyDescent="0.2">
      <c r="A115" s="3"/>
    </row>
    <row r="116" spans="1:1" x14ac:dyDescent="0.2">
      <c r="A116" s="3"/>
    </row>
    <row r="117" spans="1:1" x14ac:dyDescent="0.2">
      <c r="A117" s="3"/>
    </row>
    <row r="118" spans="1:1" x14ac:dyDescent="0.2">
      <c r="A118" s="3"/>
    </row>
    <row r="119" spans="1:1" x14ac:dyDescent="0.2">
      <c r="A119" s="3"/>
    </row>
    <row r="120" spans="1:1" x14ac:dyDescent="0.2">
      <c r="A120" s="3"/>
    </row>
    <row r="121" spans="1:1" x14ac:dyDescent="0.2">
      <c r="A121" s="3"/>
    </row>
    <row r="122" spans="1:1" x14ac:dyDescent="0.2">
      <c r="A122" s="3"/>
    </row>
    <row r="123" spans="1:1" x14ac:dyDescent="0.2">
      <c r="A123" s="3"/>
    </row>
    <row r="124" spans="1:1" x14ac:dyDescent="0.2">
      <c r="A124" s="3"/>
    </row>
    <row r="125" spans="1:1" x14ac:dyDescent="0.2">
      <c r="A125" s="3"/>
    </row>
    <row r="126" spans="1:1" x14ac:dyDescent="0.2">
      <c r="A126" s="3"/>
    </row>
    <row r="127" spans="1:1" x14ac:dyDescent="0.2">
      <c r="A127" s="3"/>
    </row>
    <row r="128" spans="1:1" x14ac:dyDescent="0.2">
      <c r="A128" s="3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  <row r="140" spans="1:1" x14ac:dyDescent="0.2">
      <c r="A140" s="3"/>
    </row>
    <row r="141" spans="1:1" x14ac:dyDescent="0.2">
      <c r="A141" s="3"/>
    </row>
    <row r="142" spans="1:1" x14ac:dyDescent="0.2">
      <c r="A142" s="3"/>
    </row>
    <row r="143" spans="1:1" x14ac:dyDescent="0.2">
      <c r="A143" s="3"/>
    </row>
    <row r="144" spans="1:1" x14ac:dyDescent="0.2">
      <c r="A144" s="3"/>
    </row>
    <row r="145" spans="1:1" x14ac:dyDescent="0.2">
      <c r="A145" s="3"/>
    </row>
    <row r="146" spans="1:1" x14ac:dyDescent="0.2">
      <c r="A146" s="3"/>
    </row>
    <row r="147" spans="1:1" x14ac:dyDescent="0.2">
      <c r="A147" s="3"/>
    </row>
    <row r="148" spans="1:1" x14ac:dyDescent="0.2">
      <c r="A148" s="3"/>
    </row>
    <row r="149" spans="1:1" x14ac:dyDescent="0.2">
      <c r="A149" s="3"/>
    </row>
    <row r="150" spans="1:1" x14ac:dyDescent="0.2">
      <c r="A150" s="3"/>
    </row>
    <row r="151" spans="1:1" x14ac:dyDescent="0.2">
      <c r="A151" s="3"/>
    </row>
    <row r="152" spans="1:1" x14ac:dyDescent="0.2">
      <c r="A152" s="3"/>
    </row>
    <row r="153" spans="1:1" x14ac:dyDescent="0.2">
      <c r="A153" s="3"/>
    </row>
    <row r="154" spans="1:1" x14ac:dyDescent="0.2">
      <c r="A154" s="3"/>
    </row>
    <row r="155" spans="1:1" x14ac:dyDescent="0.2">
      <c r="A155" s="3"/>
    </row>
    <row r="156" spans="1:1" x14ac:dyDescent="0.2">
      <c r="A156" s="3"/>
    </row>
    <row r="157" spans="1:1" x14ac:dyDescent="0.2">
      <c r="A157" s="3"/>
    </row>
    <row r="158" spans="1:1" x14ac:dyDescent="0.2">
      <c r="A158" s="3"/>
    </row>
    <row r="159" spans="1:1" x14ac:dyDescent="0.2">
      <c r="A159" s="3"/>
    </row>
    <row r="160" spans="1:1" x14ac:dyDescent="0.2">
      <c r="A160" s="3"/>
    </row>
    <row r="161" spans="1:1" x14ac:dyDescent="0.2">
      <c r="A161" s="3"/>
    </row>
    <row r="162" spans="1:1" x14ac:dyDescent="0.2">
      <c r="A162" s="3"/>
    </row>
    <row r="163" spans="1:1" x14ac:dyDescent="0.2">
      <c r="A163" s="3"/>
    </row>
    <row r="164" spans="1:1" x14ac:dyDescent="0.2">
      <c r="A164" s="3"/>
    </row>
    <row r="165" spans="1:1" x14ac:dyDescent="0.2">
      <c r="A165" s="3"/>
    </row>
    <row r="166" spans="1:1" x14ac:dyDescent="0.2">
      <c r="A166" s="3"/>
    </row>
    <row r="167" spans="1:1" x14ac:dyDescent="0.2">
      <c r="A167" s="3"/>
    </row>
    <row r="168" spans="1:1" x14ac:dyDescent="0.2">
      <c r="A168" s="3"/>
    </row>
    <row r="169" spans="1:1" x14ac:dyDescent="0.2">
      <c r="A169" s="3"/>
    </row>
    <row r="170" spans="1:1" x14ac:dyDescent="0.2">
      <c r="A170" s="3"/>
    </row>
    <row r="171" spans="1:1" x14ac:dyDescent="0.2">
      <c r="A171" s="3"/>
    </row>
    <row r="172" spans="1:1" x14ac:dyDescent="0.2">
      <c r="A172" s="3"/>
    </row>
    <row r="173" spans="1:1" x14ac:dyDescent="0.2">
      <c r="A173" s="3"/>
    </row>
    <row r="174" spans="1:1" x14ac:dyDescent="0.2">
      <c r="A174" s="3"/>
    </row>
    <row r="175" spans="1:1" x14ac:dyDescent="0.2">
      <c r="A175" s="3"/>
    </row>
    <row r="176" spans="1:1" x14ac:dyDescent="0.2">
      <c r="A176" s="3"/>
    </row>
    <row r="177" spans="1:1" x14ac:dyDescent="0.2">
      <c r="A177" s="3"/>
    </row>
    <row r="178" spans="1:1" x14ac:dyDescent="0.2">
      <c r="A178" s="3"/>
    </row>
    <row r="179" spans="1:1" x14ac:dyDescent="0.2">
      <c r="A179" s="3"/>
    </row>
    <row r="180" spans="1:1" x14ac:dyDescent="0.2">
      <c r="A180" s="3"/>
    </row>
    <row r="181" spans="1:1" x14ac:dyDescent="0.2">
      <c r="A181" s="3"/>
    </row>
    <row r="182" spans="1:1" x14ac:dyDescent="0.2">
      <c r="A182" s="3"/>
    </row>
    <row r="183" spans="1:1" x14ac:dyDescent="0.2">
      <c r="A183" s="3"/>
    </row>
    <row r="184" spans="1:1" x14ac:dyDescent="0.2">
      <c r="A184" s="3"/>
    </row>
    <row r="185" spans="1:1" x14ac:dyDescent="0.2">
      <c r="A185" s="3"/>
    </row>
    <row r="186" spans="1:1" x14ac:dyDescent="0.2">
      <c r="A186" s="3"/>
    </row>
    <row r="187" spans="1:1" x14ac:dyDescent="0.2">
      <c r="A187" s="3"/>
    </row>
    <row r="188" spans="1:1" x14ac:dyDescent="0.2">
      <c r="A188" s="3"/>
    </row>
    <row r="189" spans="1:1" x14ac:dyDescent="0.2">
      <c r="A189" s="3"/>
    </row>
    <row r="190" spans="1:1" x14ac:dyDescent="0.2">
      <c r="A190" s="3"/>
    </row>
    <row r="191" spans="1:1" x14ac:dyDescent="0.2">
      <c r="A191" s="3"/>
    </row>
    <row r="192" spans="1:1" x14ac:dyDescent="0.2">
      <c r="A192" s="3"/>
    </row>
    <row r="193" spans="1:1" x14ac:dyDescent="0.2">
      <c r="A193" s="3"/>
    </row>
    <row r="194" spans="1:1" x14ac:dyDescent="0.2">
      <c r="A194" s="3"/>
    </row>
    <row r="195" spans="1:1" x14ac:dyDescent="0.2">
      <c r="A195" s="3"/>
    </row>
    <row r="196" spans="1:1" x14ac:dyDescent="0.2">
      <c r="A196" s="3"/>
    </row>
    <row r="197" spans="1:1" x14ac:dyDescent="0.2">
      <c r="A197" s="3"/>
    </row>
    <row r="198" spans="1:1" x14ac:dyDescent="0.2">
      <c r="A198" s="3"/>
    </row>
    <row r="199" spans="1:1" x14ac:dyDescent="0.2">
      <c r="A199" s="3"/>
    </row>
    <row r="200" spans="1:1" x14ac:dyDescent="0.2">
      <c r="A200" s="3"/>
    </row>
    <row r="201" spans="1:1" x14ac:dyDescent="0.2">
      <c r="A201" s="3"/>
    </row>
    <row r="202" spans="1:1" x14ac:dyDescent="0.2">
      <c r="A202" s="3"/>
    </row>
    <row r="203" spans="1:1" x14ac:dyDescent="0.2">
      <c r="A203" s="3"/>
    </row>
  </sheetData>
  <mergeCells count="8">
    <mergeCell ref="A6:L6"/>
    <mergeCell ref="A8:A9"/>
    <mergeCell ref="B8:B9"/>
    <mergeCell ref="C8:D8"/>
    <mergeCell ref="E8:F8"/>
    <mergeCell ref="G8:H8"/>
    <mergeCell ref="I8:J8"/>
    <mergeCell ref="K8:L8"/>
  </mergeCells>
  <printOptions horizontalCentered="1"/>
  <pageMargins left="0.23622047244094491" right="0.23622047244094491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6:V39"/>
  <sheetViews>
    <sheetView workbookViewId="0">
      <selection activeCell="W26" sqref="W26"/>
    </sheetView>
  </sheetViews>
  <sheetFormatPr baseColWidth="10" defaultRowHeight="15" x14ac:dyDescent="0.25"/>
  <cols>
    <col min="1" max="1" width="28.85546875" style="10" customWidth="1"/>
    <col min="2" max="4" width="3" style="10" customWidth="1"/>
    <col min="5" max="6" width="4.7109375" style="10" customWidth="1"/>
    <col min="7" max="7" width="5" style="10" customWidth="1"/>
    <col min="8" max="8" width="6" style="10" customWidth="1"/>
    <col min="9" max="11" width="3.7109375" style="10" customWidth="1"/>
    <col min="12" max="15" width="4.28515625" style="10" customWidth="1"/>
    <col min="16" max="16" width="5.28515625" style="10" customWidth="1"/>
    <col min="17" max="17" width="8.85546875" style="10" customWidth="1"/>
    <col min="18" max="21" width="4.42578125" style="10" customWidth="1"/>
    <col min="22" max="16384" width="11.42578125" style="10"/>
  </cols>
  <sheetData>
    <row r="6" spans="1:22" ht="18" x14ac:dyDescent="0.25">
      <c r="A6" s="33" t="s">
        <v>85</v>
      </c>
    </row>
    <row r="8" spans="1:22" x14ac:dyDescent="0.25">
      <c r="A8" s="148"/>
      <c r="B8" s="148"/>
      <c r="C8" s="148"/>
      <c r="D8" s="148"/>
      <c r="E8" s="148"/>
      <c r="F8" s="148"/>
      <c r="G8" s="148"/>
      <c r="H8" s="149" t="s">
        <v>84</v>
      </c>
      <c r="I8" s="150"/>
      <c r="J8" s="150"/>
      <c r="K8" s="150"/>
      <c r="L8" s="150"/>
      <c r="M8" s="150"/>
      <c r="N8" s="150"/>
      <c r="O8" s="150"/>
      <c r="P8" s="151"/>
      <c r="Q8" s="149" t="s">
        <v>83</v>
      </c>
      <c r="R8" s="150"/>
      <c r="S8" s="150"/>
      <c r="T8" s="150"/>
      <c r="U8" s="151"/>
    </row>
    <row r="9" spans="1:22" ht="24.75" customHeight="1" x14ac:dyDescent="0.25">
      <c r="A9" s="143" t="s">
        <v>0</v>
      </c>
      <c r="B9" s="153" t="s">
        <v>82</v>
      </c>
      <c r="C9" s="153"/>
      <c r="D9" s="153"/>
      <c r="E9" s="153" t="s">
        <v>81</v>
      </c>
      <c r="F9" s="153"/>
      <c r="G9" s="153"/>
      <c r="H9" s="154" t="s">
        <v>80</v>
      </c>
      <c r="I9" s="153" t="s">
        <v>79</v>
      </c>
      <c r="J9" s="153"/>
      <c r="K9" s="153"/>
      <c r="L9" s="153" t="s">
        <v>78</v>
      </c>
      <c r="M9" s="153"/>
      <c r="N9" s="153"/>
      <c r="O9" s="153"/>
      <c r="P9" s="31" t="s">
        <v>77</v>
      </c>
      <c r="Q9" s="143" t="s">
        <v>76</v>
      </c>
      <c r="R9" s="145" t="s">
        <v>75</v>
      </c>
      <c r="S9" s="146"/>
      <c r="T9" s="146"/>
      <c r="U9" s="147"/>
    </row>
    <row r="10" spans="1:22" ht="55.5" customHeight="1" x14ac:dyDescent="0.25">
      <c r="A10" s="152"/>
      <c r="B10" s="31" t="s">
        <v>69</v>
      </c>
      <c r="C10" s="31" t="s">
        <v>70</v>
      </c>
      <c r="D10" s="31" t="s">
        <v>71</v>
      </c>
      <c r="E10" s="31" t="s">
        <v>74</v>
      </c>
      <c r="F10" s="31" t="s">
        <v>73</v>
      </c>
      <c r="G10" s="32" t="s">
        <v>72</v>
      </c>
      <c r="H10" s="154"/>
      <c r="I10" s="31" t="s">
        <v>71</v>
      </c>
      <c r="J10" s="31" t="s">
        <v>70</v>
      </c>
      <c r="K10" s="31" t="s">
        <v>69</v>
      </c>
      <c r="L10" s="31" t="s">
        <v>68</v>
      </c>
      <c r="M10" s="31" t="s">
        <v>67</v>
      </c>
      <c r="N10" s="31" t="s">
        <v>66</v>
      </c>
      <c r="O10" s="31" t="s">
        <v>65</v>
      </c>
      <c r="P10" s="32" t="s">
        <v>64</v>
      </c>
      <c r="Q10" s="144"/>
      <c r="R10" s="31">
        <v>2005</v>
      </c>
      <c r="S10" s="31">
        <v>2006</v>
      </c>
      <c r="T10" s="31">
        <v>2007</v>
      </c>
      <c r="U10" s="31">
        <v>2008</v>
      </c>
    </row>
    <row r="11" spans="1:22" ht="17.25" customHeight="1" x14ac:dyDescent="0.25">
      <c r="A11" s="17" t="s">
        <v>10</v>
      </c>
      <c r="B11" s="23"/>
      <c r="C11" s="15">
        <v>2</v>
      </c>
      <c r="D11" s="15"/>
      <c r="E11" s="15"/>
      <c r="F11" s="15"/>
      <c r="G11" s="15">
        <v>1</v>
      </c>
      <c r="H11" s="15">
        <v>6</v>
      </c>
      <c r="I11" s="15">
        <v>6</v>
      </c>
      <c r="J11" s="15"/>
      <c r="K11" s="15"/>
      <c r="L11" s="15">
        <v>1</v>
      </c>
      <c r="M11" s="15">
        <v>2</v>
      </c>
      <c r="N11" s="15">
        <v>3</v>
      </c>
      <c r="O11" s="15"/>
      <c r="P11" s="13">
        <v>1.625</v>
      </c>
      <c r="Q11" s="15" t="s">
        <v>55</v>
      </c>
      <c r="R11" s="22">
        <v>0.16666666666666666</v>
      </c>
      <c r="S11" s="22">
        <v>0.15384615384615385</v>
      </c>
      <c r="T11" s="22">
        <v>0.45055714285714282</v>
      </c>
      <c r="U11" s="22">
        <v>1</v>
      </c>
    </row>
    <row r="12" spans="1:22" ht="24" customHeight="1" x14ac:dyDescent="0.25">
      <c r="A12" s="17" t="s">
        <v>63</v>
      </c>
      <c r="B12" s="23"/>
      <c r="C12" s="15">
        <v>2</v>
      </c>
      <c r="D12" s="15">
        <v>1</v>
      </c>
      <c r="E12" s="15"/>
      <c r="F12" s="15">
        <v>3</v>
      </c>
      <c r="G12" s="15"/>
      <c r="H12" s="15">
        <v>41</v>
      </c>
      <c r="I12" s="15">
        <v>41</v>
      </c>
      <c r="J12" s="15"/>
      <c r="K12" s="15"/>
      <c r="L12" s="15">
        <v>4</v>
      </c>
      <c r="M12" s="15">
        <v>21</v>
      </c>
      <c r="N12" s="15">
        <v>5</v>
      </c>
      <c r="O12" s="15"/>
      <c r="P12" s="26">
        <v>8</v>
      </c>
      <c r="Q12" s="15" t="s">
        <v>55</v>
      </c>
      <c r="R12" s="22">
        <v>0.83333333333333326</v>
      </c>
      <c r="S12" s="22">
        <v>0.875</v>
      </c>
      <c r="T12" s="22">
        <v>1</v>
      </c>
      <c r="U12" s="22">
        <v>0.5</v>
      </c>
      <c r="V12" s="20"/>
    </row>
    <row r="13" spans="1:22" ht="17.25" customHeight="1" x14ac:dyDescent="0.25">
      <c r="A13" s="17" t="s">
        <v>62</v>
      </c>
      <c r="B13" s="29"/>
      <c r="C13" s="21">
        <v>5</v>
      </c>
      <c r="D13" s="21">
        <v>3</v>
      </c>
      <c r="E13" s="21">
        <v>2</v>
      </c>
      <c r="F13" s="21">
        <v>4</v>
      </c>
      <c r="G13" s="21">
        <v>2</v>
      </c>
      <c r="H13" s="21">
        <v>115</v>
      </c>
      <c r="I13" s="21">
        <v>99</v>
      </c>
      <c r="J13" s="21">
        <v>16</v>
      </c>
      <c r="K13" s="21"/>
      <c r="L13" s="21">
        <v>13</v>
      </c>
      <c r="M13" s="21">
        <v>45</v>
      </c>
      <c r="N13" s="21">
        <v>4</v>
      </c>
      <c r="O13" s="21">
        <v>8</v>
      </c>
      <c r="P13" s="28">
        <v>0.26578282828282829</v>
      </c>
      <c r="Q13" s="21"/>
      <c r="R13" s="27">
        <v>0.59</v>
      </c>
      <c r="S13" s="27">
        <v>0.59</v>
      </c>
      <c r="T13" s="27" t="s">
        <v>37</v>
      </c>
      <c r="U13" s="27" t="s">
        <v>37</v>
      </c>
      <c r="V13" s="11"/>
    </row>
    <row r="14" spans="1:22" ht="23.1" customHeight="1" x14ac:dyDescent="0.25">
      <c r="A14" s="17" t="s">
        <v>61</v>
      </c>
      <c r="B14" s="23"/>
      <c r="C14" s="15">
        <v>2</v>
      </c>
      <c r="D14" s="15"/>
      <c r="E14" s="15"/>
      <c r="F14" s="15">
        <v>1</v>
      </c>
      <c r="G14" s="15"/>
      <c r="H14" s="15">
        <v>16</v>
      </c>
      <c r="I14" s="15">
        <v>11</v>
      </c>
      <c r="J14" s="15">
        <v>5</v>
      </c>
      <c r="K14" s="15"/>
      <c r="L14" s="15">
        <v>1</v>
      </c>
      <c r="M14" s="15">
        <v>2</v>
      </c>
      <c r="N14" s="15"/>
      <c r="O14" s="15"/>
      <c r="P14" s="15">
        <v>4</v>
      </c>
      <c r="Q14" s="15" t="s">
        <v>55</v>
      </c>
      <c r="R14" s="15" t="s">
        <v>37</v>
      </c>
      <c r="S14" s="15" t="s">
        <v>37</v>
      </c>
      <c r="T14" s="22">
        <v>0.5</v>
      </c>
      <c r="U14" s="22">
        <v>0.56000000000000005</v>
      </c>
    </row>
    <row r="15" spans="1:22" ht="23.1" customHeight="1" x14ac:dyDescent="0.25">
      <c r="A15" s="17" t="s">
        <v>60</v>
      </c>
      <c r="B15" s="23">
        <v>1</v>
      </c>
      <c r="C15" s="15">
        <v>4</v>
      </c>
      <c r="D15" s="15"/>
      <c r="E15" s="15"/>
      <c r="F15" s="15">
        <v>2</v>
      </c>
      <c r="G15" s="15">
        <v>3</v>
      </c>
      <c r="H15" s="15">
        <v>49</v>
      </c>
      <c r="I15" s="15">
        <v>26</v>
      </c>
      <c r="J15" s="15">
        <v>23</v>
      </c>
      <c r="K15" s="15"/>
      <c r="L15" s="15">
        <v>9</v>
      </c>
      <c r="M15" s="15">
        <v>2</v>
      </c>
      <c r="N15" s="15"/>
      <c r="O15" s="15"/>
      <c r="P15" s="13">
        <v>0.38787878787878788</v>
      </c>
      <c r="Q15" s="15" t="s">
        <v>55</v>
      </c>
      <c r="R15" s="15" t="s">
        <v>37</v>
      </c>
      <c r="S15" s="15" t="s">
        <v>37</v>
      </c>
      <c r="T15" s="22">
        <v>0.71</v>
      </c>
      <c r="U15" s="22">
        <v>0.91</v>
      </c>
      <c r="V15" s="20"/>
    </row>
    <row r="16" spans="1:22" ht="23.1" customHeight="1" x14ac:dyDescent="0.25">
      <c r="A16" s="17" t="s">
        <v>59</v>
      </c>
      <c r="B16" s="23">
        <v>1</v>
      </c>
      <c r="C16" s="15">
        <v>2</v>
      </c>
      <c r="D16" s="15"/>
      <c r="E16" s="15"/>
      <c r="F16" s="15"/>
      <c r="G16" s="15">
        <v>3</v>
      </c>
      <c r="H16" s="15">
        <v>14</v>
      </c>
      <c r="I16" s="15">
        <v>3</v>
      </c>
      <c r="J16" s="15">
        <v>8</v>
      </c>
      <c r="K16" s="15">
        <v>3</v>
      </c>
      <c r="L16" s="30">
        <v>1</v>
      </c>
      <c r="M16" s="15"/>
      <c r="N16" s="15"/>
      <c r="O16" s="15"/>
      <c r="P16" s="13">
        <v>0.28000000000000003</v>
      </c>
      <c r="Q16" s="15" t="s">
        <v>37</v>
      </c>
      <c r="R16" s="15" t="s">
        <v>37</v>
      </c>
      <c r="S16" s="15" t="s">
        <v>37</v>
      </c>
      <c r="T16" s="15" t="s">
        <v>37</v>
      </c>
      <c r="U16" s="15" t="s">
        <v>37</v>
      </c>
      <c r="V16" s="11"/>
    </row>
    <row r="17" spans="1:22" ht="17.25" customHeight="1" x14ac:dyDescent="0.25">
      <c r="A17" s="17" t="s">
        <v>58</v>
      </c>
      <c r="B17" s="23">
        <v>1</v>
      </c>
      <c r="C17" s="15">
        <v>2</v>
      </c>
      <c r="D17" s="15"/>
      <c r="E17" s="15"/>
      <c r="F17" s="15"/>
      <c r="G17" s="15">
        <v>3</v>
      </c>
      <c r="H17" s="15">
        <v>10</v>
      </c>
      <c r="I17" s="21">
        <v>3</v>
      </c>
      <c r="J17" s="21">
        <v>7</v>
      </c>
      <c r="K17" s="21"/>
      <c r="L17" s="15"/>
      <c r="M17" s="15"/>
      <c r="N17" s="15"/>
      <c r="O17" s="15"/>
      <c r="P17" s="13">
        <v>0.61111111111111105</v>
      </c>
      <c r="Q17" s="15" t="s">
        <v>37</v>
      </c>
      <c r="R17" s="15" t="s">
        <v>37</v>
      </c>
      <c r="S17" s="15" t="s">
        <v>37</v>
      </c>
      <c r="T17" s="15" t="s">
        <v>37</v>
      </c>
      <c r="U17" s="15" t="s">
        <v>37</v>
      </c>
      <c r="V17" s="20"/>
    </row>
    <row r="18" spans="1:22" ht="17.25" customHeight="1" x14ac:dyDescent="0.25">
      <c r="A18" s="17" t="s">
        <v>57</v>
      </c>
      <c r="B18" s="23">
        <v>1</v>
      </c>
      <c r="C18" s="15">
        <v>1</v>
      </c>
      <c r="D18" s="15"/>
      <c r="E18" s="15"/>
      <c r="F18" s="15"/>
      <c r="G18" s="15">
        <v>2</v>
      </c>
      <c r="H18" s="15">
        <v>7</v>
      </c>
      <c r="I18" s="15">
        <v>3</v>
      </c>
      <c r="J18" s="15">
        <v>4</v>
      </c>
      <c r="K18" s="15"/>
      <c r="L18" s="15"/>
      <c r="M18" s="15"/>
      <c r="N18" s="15"/>
      <c r="O18" s="15"/>
      <c r="P18" s="13">
        <v>0.2857142857142857</v>
      </c>
      <c r="Q18" s="15" t="s">
        <v>55</v>
      </c>
      <c r="R18" s="22">
        <v>1</v>
      </c>
      <c r="S18" s="22">
        <v>1</v>
      </c>
      <c r="T18" s="22">
        <v>1</v>
      </c>
      <c r="U18" s="22">
        <v>1</v>
      </c>
      <c r="V18" s="20"/>
    </row>
    <row r="19" spans="1:22" ht="17.25" customHeight="1" x14ac:dyDescent="0.25">
      <c r="A19" s="17" t="s">
        <v>56</v>
      </c>
      <c r="B19" s="29">
        <v>1</v>
      </c>
      <c r="C19" s="21">
        <v>7</v>
      </c>
      <c r="D19" s="21">
        <v>1</v>
      </c>
      <c r="E19" s="21">
        <v>1</v>
      </c>
      <c r="F19" s="21"/>
      <c r="G19" s="21">
        <v>8</v>
      </c>
      <c r="H19" s="21">
        <v>51</v>
      </c>
      <c r="I19" s="21">
        <v>33</v>
      </c>
      <c r="J19" s="21">
        <v>16</v>
      </c>
      <c r="K19" s="21">
        <v>2</v>
      </c>
      <c r="L19" s="21">
        <v>1</v>
      </c>
      <c r="M19" s="21">
        <v>5</v>
      </c>
      <c r="N19" s="21">
        <v>1</v>
      </c>
      <c r="O19" s="21"/>
      <c r="P19" s="28">
        <v>0.79259259259259252</v>
      </c>
      <c r="Q19" s="21" t="s">
        <v>55</v>
      </c>
      <c r="R19" s="27">
        <v>0.49</v>
      </c>
      <c r="S19" s="27">
        <v>0.85</v>
      </c>
      <c r="T19" s="27">
        <v>0.63250000000000006</v>
      </c>
      <c r="U19" s="21" t="s">
        <v>37</v>
      </c>
      <c r="V19" s="20"/>
    </row>
    <row r="20" spans="1:22" ht="17.25" customHeight="1" x14ac:dyDescent="0.25">
      <c r="A20" s="17" t="s">
        <v>54</v>
      </c>
      <c r="B20" s="23">
        <v>3</v>
      </c>
      <c r="C20" s="15">
        <v>11</v>
      </c>
      <c r="D20" s="15">
        <v>5</v>
      </c>
      <c r="E20" s="15">
        <v>2</v>
      </c>
      <c r="F20" s="15">
        <v>3</v>
      </c>
      <c r="G20" s="15">
        <v>10</v>
      </c>
      <c r="H20" s="15">
        <v>67</v>
      </c>
      <c r="I20" s="15">
        <v>53</v>
      </c>
      <c r="J20" s="15">
        <v>12</v>
      </c>
      <c r="K20" s="15"/>
      <c r="L20" s="15">
        <v>5</v>
      </c>
      <c r="M20" s="15">
        <v>10</v>
      </c>
      <c r="N20" s="15"/>
      <c r="O20" s="15"/>
      <c r="P20" s="26">
        <v>14</v>
      </c>
      <c r="Q20" s="15" t="s">
        <v>37</v>
      </c>
      <c r="R20" s="22">
        <v>0.4</v>
      </c>
      <c r="S20" s="22">
        <v>0.2</v>
      </c>
      <c r="T20" s="22">
        <v>0.2</v>
      </c>
      <c r="U20" s="22">
        <v>0.37</v>
      </c>
      <c r="V20" s="20"/>
    </row>
    <row r="21" spans="1:22" ht="17.25" customHeight="1" x14ac:dyDescent="0.25">
      <c r="A21" s="17" t="s">
        <v>11</v>
      </c>
      <c r="B21" s="23"/>
      <c r="C21" s="15">
        <v>3</v>
      </c>
      <c r="D21" s="15">
        <v>1</v>
      </c>
      <c r="E21" s="15"/>
      <c r="F21" s="15">
        <v>1</v>
      </c>
      <c r="G21" s="15">
        <v>2</v>
      </c>
      <c r="H21" s="15">
        <v>37</v>
      </c>
      <c r="I21" s="21">
        <v>29</v>
      </c>
      <c r="J21" s="21">
        <v>8</v>
      </c>
      <c r="K21" s="21"/>
      <c r="L21" s="15"/>
      <c r="M21" s="15">
        <v>3</v>
      </c>
      <c r="N21" s="15"/>
      <c r="O21" s="15"/>
      <c r="P21" s="13">
        <v>0.32500000000000001</v>
      </c>
      <c r="Q21" s="15" t="s">
        <v>37</v>
      </c>
      <c r="R21" s="15" t="s">
        <v>37</v>
      </c>
      <c r="S21" s="15" t="s">
        <v>37</v>
      </c>
      <c r="T21" s="15" t="s">
        <v>37</v>
      </c>
      <c r="U21" s="15" t="s">
        <v>37</v>
      </c>
      <c r="V21" s="18"/>
    </row>
    <row r="22" spans="1:22" ht="17.25" customHeight="1" x14ac:dyDescent="0.25">
      <c r="A22" s="17" t="s">
        <v>12</v>
      </c>
      <c r="B22" s="23">
        <v>1</v>
      </c>
      <c r="C22" s="15">
        <v>10</v>
      </c>
      <c r="D22" s="15">
        <v>6</v>
      </c>
      <c r="E22" s="15">
        <v>0</v>
      </c>
      <c r="F22" s="15">
        <v>9</v>
      </c>
      <c r="G22" s="15">
        <v>8</v>
      </c>
      <c r="H22" s="15">
        <v>48</v>
      </c>
      <c r="I22" s="21">
        <v>17</v>
      </c>
      <c r="J22" s="21">
        <v>20</v>
      </c>
      <c r="K22" s="21">
        <v>11</v>
      </c>
      <c r="L22" s="15">
        <v>2</v>
      </c>
      <c r="M22" s="15">
        <v>17</v>
      </c>
      <c r="N22" s="15">
        <v>8</v>
      </c>
      <c r="O22" s="15">
        <v>2</v>
      </c>
      <c r="P22" s="15">
        <v>0.25</v>
      </c>
      <c r="Q22" s="15"/>
      <c r="R22" s="22" t="s">
        <v>37</v>
      </c>
      <c r="S22" s="22" t="s">
        <v>37</v>
      </c>
      <c r="T22" s="22" t="s">
        <v>37</v>
      </c>
      <c r="U22" s="22">
        <v>0.62</v>
      </c>
      <c r="V22" s="18"/>
    </row>
    <row r="23" spans="1:22" ht="23.1" customHeight="1" x14ac:dyDescent="0.25">
      <c r="A23" s="17" t="s">
        <v>53</v>
      </c>
      <c r="B23" s="23">
        <v>0</v>
      </c>
      <c r="C23" s="15">
        <v>3</v>
      </c>
      <c r="D23" s="15"/>
      <c r="E23" s="15"/>
      <c r="F23" s="15"/>
      <c r="G23" s="15">
        <v>3</v>
      </c>
      <c r="H23" s="15">
        <v>18</v>
      </c>
      <c r="I23" s="15">
        <v>12</v>
      </c>
      <c r="J23" s="15">
        <v>6</v>
      </c>
      <c r="K23" s="15"/>
      <c r="L23" s="15"/>
      <c r="M23" s="15"/>
      <c r="N23" s="15"/>
      <c r="O23" s="15"/>
      <c r="P23" s="15">
        <v>0.67</v>
      </c>
      <c r="Q23" s="15" t="s">
        <v>37</v>
      </c>
      <c r="R23" s="15" t="s">
        <v>37</v>
      </c>
      <c r="S23" s="15" t="s">
        <v>37</v>
      </c>
      <c r="T23" s="15" t="s">
        <v>37</v>
      </c>
      <c r="U23" s="15" t="s">
        <v>37</v>
      </c>
      <c r="V23" s="20"/>
    </row>
    <row r="24" spans="1:22" ht="23.1" customHeight="1" x14ac:dyDescent="0.25">
      <c r="A24" s="17" t="s">
        <v>52</v>
      </c>
      <c r="B24" s="23"/>
      <c r="C24" s="15">
        <v>4</v>
      </c>
      <c r="D24" s="15"/>
      <c r="E24" s="15"/>
      <c r="F24" s="15"/>
      <c r="G24" s="15">
        <v>4</v>
      </c>
      <c r="H24" s="15">
        <v>7</v>
      </c>
      <c r="I24" s="15"/>
      <c r="J24" s="15">
        <v>7</v>
      </c>
      <c r="K24" s="15"/>
      <c r="L24" s="15"/>
      <c r="M24" s="15"/>
      <c r="N24" s="15"/>
      <c r="O24" s="15"/>
      <c r="P24" s="15">
        <v>1.75</v>
      </c>
      <c r="Q24" s="15" t="s">
        <v>37</v>
      </c>
      <c r="R24" s="15" t="s">
        <v>37</v>
      </c>
      <c r="S24" s="15" t="s">
        <v>37</v>
      </c>
      <c r="T24" s="15" t="s">
        <v>37</v>
      </c>
      <c r="U24" s="15" t="s">
        <v>37</v>
      </c>
      <c r="V24" s="18"/>
    </row>
    <row r="25" spans="1:22" ht="23.1" customHeight="1" x14ac:dyDescent="0.25">
      <c r="A25" s="17" t="s">
        <v>32</v>
      </c>
      <c r="B25" s="23">
        <v>1</v>
      </c>
      <c r="C25" s="15">
        <v>2</v>
      </c>
      <c r="D25" s="15"/>
      <c r="E25" s="15"/>
      <c r="F25" s="15"/>
      <c r="G25" s="15">
        <v>3</v>
      </c>
      <c r="H25" s="15">
        <v>9</v>
      </c>
      <c r="I25" s="15"/>
      <c r="J25" s="15">
        <v>9</v>
      </c>
      <c r="K25" s="15"/>
      <c r="L25" s="15"/>
      <c r="M25" s="15"/>
      <c r="N25" s="15"/>
      <c r="O25" s="15"/>
      <c r="P25" s="15"/>
      <c r="Q25" s="15" t="s">
        <v>37</v>
      </c>
      <c r="R25" s="15" t="s">
        <v>37</v>
      </c>
      <c r="S25" s="15" t="s">
        <v>37</v>
      </c>
      <c r="T25" s="15" t="s">
        <v>37</v>
      </c>
      <c r="U25" s="15" t="s">
        <v>37</v>
      </c>
      <c r="V25" s="20"/>
    </row>
    <row r="26" spans="1:22" ht="17.25" customHeight="1" x14ac:dyDescent="0.25">
      <c r="A26" s="17" t="s">
        <v>51</v>
      </c>
      <c r="B26" s="23"/>
      <c r="C26" s="15">
        <v>3</v>
      </c>
      <c r="D26" s="15"/>
      <c r="E26" s="15"/>
      <c r="F26" s="15"/>
      <c r="G26" s="15">
        <v>3</v>
      </c>
      <c r="H26" s="15">
        <v>11</v>
      </c>
      <c r="I26" s="15">
        <v>6</v>
      </c>
      <c r="J26" s="15">
        <v>5</v>
      </c>
      <c r="K26" s="15"/>
      <c r="L26" s="15"/>
      <c r="M26" s="15"/>
      <c r="N26" s="15"/>
      <c r="O26" s="15"/>
      <c r="P26" s="13">
        <v>2.3333333333333335</v>
      </c>
      <c r="Q26" s="15" t="s">
        <v>37</v>
      </c>
      <c r="R26" s="15" t="s">
        <v>37</v>
      </c>
      <c r="S26" s="15" t="s">
        <v>37</v>
      </c>
      <c r="T26" s="15" t="s">
        <v>37</v>
      </c>
      <c r="U26" s="15" t="s">
        <v>37</v>
      </c>
      <c r="V26" s="20"/>
    </row>
    <row r="27" spans="1:22" ht="17.25" customHeight="1" x14ac:dyDescent="0.25">
      <c r="A27" s="17" t="s">
        <v>50</v>
      </c>
      <c r="B27" s="23">
        <v>2</v>
      </c>
      <c r="C27" s="15">
        <v>12</v>
      </c>
      <c r="D27" s="15">
        <v>3</v>
      </c>
      <c r="E27" s="15"/>
      <c r="F27" s="15">
        <v>2</v>
      </c>
      <c r="G27" s="25">
        <v>10</v>
      </c>
      <c r="H27" s="15">
        <v>140</v>
      </c>
      <c r="I27" s="15">
        <v>69</v>
      </c>
      <c r="J27" s="15">
        <v>71</v>
      </c>
      <c r="K27" s="15"/>
      <c r="L27" s="15">
        <v>4</v>
      </c>
      <c r="M27" s="15">
        <v>12</v>
      </c>
      <c r="N27" s="15">
        <v>3</v>
      </c>
      <c r="O27" s="15"/>
      <c r="P27" s="13">
        <v>1.8508814102564104</v>
      </c>
      <c r="Q27" s="15" t="s">
        <v>37</v>
      </c>
      <c r="R27" s="22">
        <v>0.38</v>
      </c>
      <c r="S27" s="22">
        <v>0.6</v>
      </c>
      <c r="T27" s="22">
        <v>0.46</v>
      </c>
      <c r="U27" s="22">
        <v>0.5</v>
      </c>
      <c r="V27" s="20"/>
    </row>
    <row r="28" spans="1:22" x14ac:dyDescent="0.25">
      <c r="A28" s="17" t="s">
        <v>49</v>
      </c>
      <c r="B28" s="15"/>
      <c r="C28" s="15">
        <v>2</v>
      </c>
      <c r="D28" s="15"/>
      <c r="E28" s="15"/>
      <c r="F28" s="15"/>
      <c r="G28" s="15">
        <v>2</v>
      </c>
      <c r="H28" s="15">
        <v>25</v>
      </c>
      <c r="I28" s="15">
        <v>15</v>
      </c>
      <c r="J28" s="15">
        <v>10</v>
      </c>
      <c r="K28" s="15"/>
      <c r="L28" s="15">
        <v>4</v>
      </c>
      <c r="M28" s="15">
        <v>4</v>
      </c>
      <c r="N28" s="24"/>
      <c r="O28" s="24"/>
      <c r="P28" s="21">
        <v>0.25</v>
      </c>
      <c r="Q28" s="21" t="s">
        <v>37</v>
      </c>
      <c r="R28" s="21" t="s">
        <v>37</v>
      </c>
      <c r="S28" s="21" t="s">
        <v>37</v>
      </c>
      <c r="T28" s="21" t="s">
        <v>37</v>
      </c>
      <c r="U28" s="21" t="s">
        <v>37</v>
      </c>
      <c r="V28" s="18"/>
    </row>
    <row r="29" spans="1:22" x14ac:dyDescent="0.25">
      <c r="A29" s="17" t="s">
        <v>13</v>
      </c>
      <c r="B29" s="15"/>
      <c r="C29" s="15">
        <v>5</v>
      </c>
      <c r="D29" s="15"/>
      <c r="E29" s="15"/>
      <c r="F29" s="15">
        <v>2</v>
      </c>
      <c r="G29" s="15">
        <v>3</v>
      </c>
      <c r="H29" s="15">
        <v>15</v>
      </c>
      <c r="I29" s="15">
        <v>15</v>
      </c>
      <c r="J29" s="14"/>
      <c r="K29" s="14"/>
      <c r="L29" s="15">
        <v>1</v>
      </c>
      <c r="M29" s="15">
        <v>10</v>
      </c>
      <c r="N29" s="14"/>
      <c r="O29" s="14"/>
      <c r="P29" s="15">
        <v>0.51</v>
      </c>
      <c r="Q29" s="12" t="s">
        <v>48</v>
      </c>
      <c r="R29" s="12" t="s">
        <v>37</v>
      </c>
      <c r="S29" s="12" t="s">
        <v>37</v>
      </c>
      <c r="T29" s="12" t="s">
        <v>37</v>
      </c>
      <c r="U29" s="12" t="s">
        <v>37</v>
      </c>
      <c r="V29" s="20"/>
    </row>
    <row r="30" spans="1:22" x14ac:dyDescent="0.25">
      <c r="A30" s="17" t="s">
        <v>47</v>
      </c>
      <c r="B30" s="23">
        <v>4</v>
      </c>
      <c r="C30" s="23">
        <v>10</v>
      </c>
      <c r="D30" s="23">
        <v>4</v>
      </c>
      <c r="E30" s="23">
        <v>2</v>
      </c>
      <c r="F30" s="23">
        <v>6</v>
      </c>
      <c r="G30" s="23">
        <v>10</v>
      </c>
      <c r="H30" s="23">
        <v>160</v>
      </c>
      <c r="I30" s="23">
        <v>125</v>
      </c>
      <c r="J30" s="23">
        <v>34</v>
      </c>
      <c r="K30" s="23">
        <v>1</v>
      </c>
      <c r="L30" s="23">
        <v>19</v>
      </c>
      <c r="M30" s="23">
        <v>35</v>
      </c>
      <c r="N30" s="23">
        <v>12</v>
      </c>
      <c r="O30" s="23">
        <v>3</v>
      </c>
      <c r="P30" s="23">
        <v>0.25</v>
      </c>
      <c r="Q30" s="21" t="s">
        <v>37</v>
      </c>
      <c r="R30" s="22">
        <v>0.67500000000000004</v>
      </c>
      <c r="S30" s="22">
        <v>0.87360000000000004</v>
      </c>
      <c r="T30" s="22">
        <v>0.65229999999999999</v>
      </c>
      <c r="U30" s="22">
        <v>0.76139999999999997</v>
      </c>
      <c r="V30" s="20"/>
    </row>
    <row r="31" spans="1:22" x14ac:dyDescent="0.25">
      <c r="A31" s="17" t="s">
        <v>46</v>
      </c>
      <c r="B31" s="15"/>
      <c r="C31" s="15">
        <v>1</v>
      </c>
      <c r="D31" s="15"/>
      <c r="E31" s="15"/>
      <c r="F31" s="15"/>
      <c r="G31" s="15">
        <v>1</v>
      </c>
      <c r="H31" s="15">
        <v>8</v>
      </c>
      <c r="I31" s="15">
        <v>8</v>
      </c>
      <c r="J31" s="15"/>
      <c r="K31" s="15"/>
      <c r="L31" s="15">
        <v>3</v>
      </c>
      <c r="M31" s="15">
        <v>3</v>
      </c>
      <c r="N31" s="15"/>
      <c r="O31" s="15"/>
      <c r="P31" s="13">
        <v>0.375</v>
      </c>
      <c r="Q31" s="15" t="s">
        <v>37</v>
      </c>
      <c r="R31" s="15" t="s">
        <v>37</v>
      </c>
      <c r="S31" s="15" t="s">
        <v>37</v>
      </c>
      <c r="T31" s="15" t="s">
        <v>37</v>
      </c>
      <c r="U31" s="15" t="s">
        <v>37</v>
      </c>
      <c r="V31" s="20"/>
    </row>
    <row r="32" spans="1:22" x14ac:dyDescent="0.25">
      <c r="A32" s="17" t="s">
        <v>45</v>
      </c>
      <c r="B32" s="23">
        <v>1</v>
      </c>
      <c r="C32" s="23">
        <v>2</v>
      </c>
      <c r="D32" s="23">
        <v>0</v>
      </c>
      <c r="E32" s="23">
        <v>0</v>
      </c>
      <c r="F32" s="23">
        <v>0</v>
      </c>
      <c r="G32" s="23">
        <v>3</v>
      </c>
      <c r="H32" s="23">
        <v>8</v>
      </c>
      <c r="I32" s="23"/>
      <c r="J32" s="23">
        <v>8</v>
      </c>
      <c r="K32" s="23"/>
      <c r="L32" s="23"/>
      <c r="M32" s="23"/>
      <c r="N32" s="23"/>
      <c r="O32" s="23"/>
      <c r="P32" s="21">
        <v>0.25</v>
      </c>
      <c r="Q32" s="21" t="s">
        <v>37</v>
      </c>
      <c r="R32" s="21" t="s">
        <v>37</v>
      </c>
      <c r="S32" s="21" t="s">
        <v>37</v>
      </c>
      <c r="T32" s="22">
        <v>0.48309999999999997</v>
      </c>
      <c r="U32" s="21" t="s">
        <v>37</v>
      </c>
      <c r="V32" s="20"/>
    </row>
    <row r="33" spans="1:22" ht="22.5" x14ac:dyDescent="0.25">
      <c r="A33" s="17" t="s">
        <v>86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1"/>
    </row>
    <row r="34" spans="1:22" x14ac:dyDescent="0.25">
      <c r="A34" s="17" t="s">
        <v>16</v>
      </c>
      <c r="B34" s="16"/>
      <c r="C34" s="15">
        <v>2</v>
      </c>
      <c r="D34" s="15"/>
      <c r="E34" s="15"/>
      <c r="F34" s="15"/>
      <c r="G34" s="15">
        <v>2</v>
      </c>
      <c r="H34" s="15">
        <v>18</v>
      </c>
      <c r="I34" s="15">
        <v>11</v>
      </c>
      <c r="J34" s="15">
        <v>7</v>
      </c>
      <c r="K34" s="15"/>
      <c r="L34" s="15"/>
      <c r="M34" s="15"/>
      <c r="N34" s="15"/>
      <c r="O34" s="14"/>
      <c r="P34" s="13">
        <v>0.33300000000000002</v>
      </c>
      <c r="Q34" s="12"/>
      <c r="R34" s="12"/>
      <c r="S34" s="12"/>
      <c r="T34" s="12"/>
      <c r="U34" s="12"/>
      <c r="V34" s="18"/>
    </row>
    <row r="35" spans="1:22" x14ac:dyDescent="0.25">
      <c r="A35" s="17" t="s">
        <v>43</v>
      </c>
      <c r="B35" s="16"/>
      <c r="C35" s="15">
        <v>1</v>
      </c>
      <c r="D35" s="15"/>
      <c r="E35" s="15"/>
      <c r="F35" s="15"/>
      <c r="G35" s="15">
        <v>1</v>
      </c>
      <c r="H35" s="15">
        <v>6</v>
      </c>
      <c r="I35" s="15"/>
      <c r="J35" s="15">
        <v>5</v>
      </c>
      <c r="K35" s="15">
        <v>1</v>
      </c>
      <c r="L35" s="15"/>
      <c r="M35" s="15"/>
      <c r="N35" s="15"/>
      <c r="O35" s="14"/>
      <c r="P35" s="15"/>
      <c r="Q35" s="12"/>
      <c r="R35" s="12"/>
      <c r="S35" s="12"/>
      <c r="T35" s="12"/>
      <c r="U35" s="12"/>
      <c r="V35" s="18"/>
    </row>
    <row r="36" spans="1:22" ht="22.5" x14ac:dyDescent="0.25">
      <c r="A36" s="17" t="s">
        <v>42</v>
      </c>
      <c r="B36" s="16"/>
      <c r="C36" s="15">
        <v>1</v>
      </c>
      <c r="D36" s="15"/>
      <c r="E36" s="15"/>
      <c r="F36" s="15"/>
      <c r="G36" s="15">
        <v>1</v>
      </c>
      <c r="H36" s="15" t="s">
        <v>41</v>
      </c>
      <c r="I36" s="15"/>
      <c r="J36" s="15" t="s">
        <v>40</v>
      </c>
      <c r="K36" s="15" t="s">
        <v>39</v>
      </c>
      <c r="L36" s="15"/>
      <c r="M36" s="15"/>
      <c r="N36" s="15"/>
      <c r="O36" s="14"/>
      <c r="P36" s="15">
        <v>1.5</v>
      </c>
      <c r="Q36" s="12" t="s">
        <v>37</v>
      </c>
      <c r="R36" s="12" t="s">
        <v>37</v>
      </c>
      <c r="S36" s="12" t="s">
        <v>37</v>
      </c>
      <c r="T36" s="12" t="s">
        <v>37</v>
      </c>
      <c r="U36" s="12" t="s">
        <v>37</v>
      </c>
      <c r="V36" s="18"/>
    </row>
    <row r="37" spans="1:22" ht="22.5" x14ac:dyDescent="0.25">
      <c r="A37" s="17" t="s">
        <v>38</v>
      </c>
      <c r="B37" s="16"/>
      <c r="C37" s="15">
        <v>1</v>
      </c>
      <c r="D37" s="15"/>
      <c r="E37" s="15"/>
      <c r="F37" s="15"/>
      <c r="G37" s="15">
        <v>1</v>
      </c>
      <c r="H37" s="15">
        <v>3</v>
      </c>
      <c r="I37" s="15">
        <v>3</v>
      </c>
      <c r="J37" s="15"/>
      <c r="K37" s="15"/>
      <c r="L37" s="15">
        <v>1</v>
      </c>
      <c r="M37" s="15"/>
      <c r="N37" s="15">
        <v>1</v>
      </c>
      <c r="O37" s="14"/>
      <c r="P37" s="13">
        <f>2/3</f>
        <v>0.66666666666666663</v>
      </c>
      <c r="Q37" s="12" t="s">
        <v>37</v>
      </c>
      <c r="R37" s="12" t="s">
        <v>37</v>
      </c>
      <c r="S37" s="12" t="s">
        <v>37</v>
      </c>
      <c r="T37" s="12" t="s">
        <v>37</v>
      </c>
      <c r="U37" s="12" t="s">
        <v>37</v>
      </c>
      <c r="V37" s="11"/>
    </row>
    <row r="38" spans="1:22" x14ac:dyDescent="0.25">
      <c r="A38" s="39"/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4"/>
      <c r="P38" s="36"/>
      <c r="Q38" s="37"/>
      <c r="R38" s="37"/>
      <c r="S38" s="37"/>
      <c r="T38" s="37"/>
      <c r="U38" s="37"/>
      <c r="V38" s="38"/>
    </row>
    <row r="39" spans="1:22" x14ac:dyDescent="0.25">
      <c r="A39" s="40" t="s">
        <v>87</v>
      </c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4"/>
      <c r="P39" s="36"/>
      <c r="Q39" s="37"/>
      <c r="R39" s="37"/>
      <c r="S39" s="37"/>
      <c r="T39" s="37"/>
      <c r="U39" s="37"/>
      <c r="V39" s="38"/>
    </row>
  </sheetData>
  <mergeCells count="11">
    <mergeCell ref="Q9:Q10"/>
    <mergeCell ref="R9:U9"/>
    <mergeCell ref="A8:G8"/>
    <mergeCell ref="H8:P8"/>
    <mergeCell ref="Q8:U8"/>
    <mergeCell ref="A9:A10"/>
    <mergeCell ref="B9:D9"/>
    <mergeCell ref="E9:G9"/>
    <mergeCell ref="H9:H10"/>
    <mergeCell ref="I9:K9"/>
    <mergeCell ref="L9:O9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5:Z29"/>
  <sheetViews>
    <sheetView workbookViewId="0">
      <selection activeCell="K35" sqref="K35"/>
    </sheetView>
  </sheetViews>
  <sheetFormatPr baseColWidth="10" defaultColWidth="11.42578125" defaultRowHeight="15" x14ac:dyDescent="0.25"/>
  <cols>
    <col min="1" max="1" width="24" style="41" customWidth="1"/>
    <col min="2" max="2" width="12.7109375" style="41" bestFit="1" customWidth="1"/>
    <col min="3" max="3" width="8.140625" style="41" customWidth="1"/>
    <col min="4" max="4" width="13.28515625" style="41" customWidth="1"/>
    <col min="5" max="5" width="4.28515625" style="41" customWidth="1"/>
    <col min="6" max="6" width="11.7109375" style="41" customWidth="1"/>
    <col min="7" max="7" width="4.140625" style="41" bestFit="1" customWidth="1"/>
    <col min="8" max="8" width="12.28515625" style="41" customWidth="1"/>
    <col min="9" max="9" width="5.5703125" style="41" customWidth="1"/>
    <col min="10" max="10" width="12.85546875" style="41" customWidth="1"/>
    <col min="11" max="11" width="5.7109375" style="41" customWidth="1"/>
    <col min="12" max="12" width="13.28515625" style="41" customWidth="1"/>
    <col min="13" max="13" width="4.140625" style="41" bestFit="1" customWidth="1"/>
    <col min="14" max="14" width="12.42578125" style="41" customWidth="1"/>
    <col min="15" max="15" width="4.140625" style="41" bestFit="1" customWidth="1"/>
    <col min="16" max="16" width="11.140625" style="41" bestFit="1" customWidth="1"/>
    <col min="17" max="17" width="4.140625" style="41" bestFit="1" customWidth="1"/>
    <col min="18" max="18" width="10.140625" style="41" bestFit="1" customWidth="1"/>
    <col min="19" max="19" width="4.140625" style="41" bestFit="1" customWidth="1"/>
    <col min="20" max="20" width="11.7109375" style="41" customWidth="1"/>
    <col min="21" max="21" width="4" style="41" bestFit="1" customWidth="1"/>
    <col min="22" max="22" width="11.140625" style="41" bestFit="1" customWidth="1"/>
    <col min="23" max="23" width="11.42578125" style="41"/>
    <col min="24" max="24" width="12.7109375" style="41" bestFit="1" customWidth="1"/>
    <col min="25" max="25" width="11.42578125" style="41"/>
    <col min="26" max="26" width="15" style="41" customWidth="1"/>
    <col min="27" max="16384" width="11.42578125" style="41"/>
  </cols>
  <sheetData>
    <row r="5" spans="1:26" ht="15.75" customHeight="1" x14ac:dyDescent="0.25">
      <c r="A5" s="155" t="s">
        <v>88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</row>
    <row r="7" spans="1:26" x14ac:dyDescent="0.25">
      <c r="A7" s="156"/>
      <c r="B7" s="157"/>
      <c r="C7" s="160" t="s">
        <v>89</v>
      </c>
      <c r="D7" s="160"/>
      <c r="E7" s="160"/>
      <c r="F7" s="160"/>
      <c r="G7" s="160"/>
      <c r="H7" s="160"/>
      <c r="I7" s="160"/>
      <c r="J7" s="160"/>
      <c r="K7" s="160"/>
      <c r="L7" s="160"/>
      <c r="M7" s="161" t="s">
        <v>90</v>
      </c>
      <c r="N7" s="161"/>
      <c r="O7" s="161"/>
      <c r="P7" s="161"/>
      <c r="Q7" s="161"/>
      <c r="R7" s="161"/>
      <c r="S7" s="161"/>
      <c r="T7" s="161"/>
      <c r="U7" s="161"/>
      <c r="V7" s="161"/>
    </row>
    <row r="8" spans="1:26" x14ac:dyDescent="0.25">
      <c r="A8" s="158"/>
      <c r="B8" s="159"/>
      <c r="C8" s="160">
        <v>2007</v>
      </c>
      <c r="D8" s="160"/>
      <c r="E8" s="160">
        <v>2008</v>
      </c>
      <c r="F8" s="160"/>
      <c r="G8" s="160">
        <v>2009</v>
      </c>
      <c r="H8" s="160"/>
      <c r="I8" s="160">
        <v>2010</v>
      </c>
      <c r="J8" s="160"/>
      <c r="K8" s="160">
        <v>2011</v>
      </c>
      <c r="L8" s="160"/>
      <c r="M8" s="161">
        <v>2007</v>
      </c>
      <c r="N8" s="161"/>
      <c r="O8" s="161">
        <v>2008</v>
      </c>
      <c r="P8" s="161"/>
      <c r="Q8" s="161">
        <v>2009</v>
      </c>
      <c r="R8" s="161"/>
      <c r="S8" s="161">
        <v>2010</v>
      </c>
      <c r="T8" s="161"/>
      <c r="U8" s="161">
        <v>2011</v>
      </c>
      <c r="V8" s="161"/>
      <c r="W8" s="42"/>
      <c r="X8" s="42"/>
      <c r="Y8" s="42"/>
      <c r="Z8" s="42"/>
    </row>
    <row r="9" spans="1:26" x14ac:dyDescent="0.25">
      <c r="A9" s="44" t="s">
        <v>91</v>
      </c>
      <c r="B9" s="44" t="s">
        <v>92</v>
      </c>
      <c r="C9" s="44" t="s">
        <v>93</v>
      </c>
      <c r="D9" s="44" t="s">
        <v>94</v>
      </c>
      <c r="E9" s="44" t="s">
        <v>93</v>
      </c>
      <c r="F9" s="44" t="s">
        <v>94</v>
      </c>
      <c r="G9" s="44" t="s">
        <v>93</v>
      </c>
      <c r="H9" s="44" t="s">
        <v>94</v>
      </c>
      <c r="I9" s="44" t="s">
        <v>93</v>
      </c>
      <c r="J9" s="55" t="s">
        <v>94</v>
      </c>
      <c r="K9" s="44" t="s">
        <v>93</v>
      </c>
      <c r="L9" s="44" t="s">
        <v>94</v>
      </c>
      <c r="M9" s="43" t="s">
        <v>93</v>
      </c>
      <c r="N9" s="43" t="s">
        <v>94</v>
      </c>
      <c r="O9" s="43" t="s">
        <v>93</v>
      </c>
      <c r="P9" s="43" t="s">
        <v>94</v>
      </c>
      <c r="Q9" s="43" t="s">
        <v>93</v>
      </c>
      <c r="R9" s="43" t="s">
        <v>94</v>
      </c>
      <c r="S9" s="43" t="s">
        <v>93</v>
      </c>
      <c r="T9" s="43" t="s">
        <v>94</v>
      </c>
      <c r="U9" s="43" t="s">
        <v>93</v>
      </c>
      <c r="V9" s="43" t="s">
        <v>94</v>
      </c>
      <c r="W9" s="42"/>
      <c r="X9" s="42"/>
      <c r="Y9" s="42"/>
      <c r="Z9" s="42"/>
    </row>
    <row r="10" spans="1:26" x14ac:dyDescent="0.25">
      <c r="A10" s="162" t="s">
        <v>95</v>
      </c>
      <c r="B10" s="44" t="s">
        <v>96</v>
      </c>
      <c r="C10" s="56">
        <f>4+4+146+29+2</f>
        <v>185</v>
      </c>
      <c r="D10" s="57">
        <f>59000+10724.01+10000</f>
        <v>79724.009999999995</v>
      </c>
      <c r="E10" s="56">
        <f>50+15+4+1+263+6+99+50+3</f>
        <v>491</v>
      </c>
      <c r="F10" s="58">
        <f>50000+12000+103100+15400+84591+37652+15000</f>
        <v>317743</v>
      </c>
      <c r="G10" s="59">
        <f>50+40+65+1+4+1+169+2+38+22+2</f>
        <v>394</v>
      </c>
      <c r="H10" s="58">
        <f>30000+40302+80605+8963+60000+5000+38518.65+25099+10000</f>
        <v>298487.65000000002</v>
      </c>
      <c r="I10" s="60">
        <f>173+95+197+45+77+4+108+2+3+145+231+2+9</f>
        <v>1091</v>
      </c>
      <c r="J10" s="58">
        <f>197918+94191+173381+112796+51000+30000+6000+97154.29+231161+20000+63000</f>
        <v>1076601.29</v>
      </c>
      <c r="K10" s="60">
        <f>3+179+296+30+36+15+139+15+9+109+223+1+1+13+7</f>
        <v>1076</v>
      </c>
      <c r="L10" s="58">
        <f>5859+136400+234932+82567+39850+19825+120000+176188.61+329744+4000+4000+186000+54500</f>
        <v>1393865.6099999999</v>
      </c>
      <c r="M10" s="45">
        <f>5+12+1</f>
        <v>18</v>
      </c>
      <c r="N10" s="46">
        <f>76880+52488+5000</f>
        <v>134368</v>
      </c>
      <c r="O10" s="45">
        <f>8+1+4+15+5+2+2+9</f>
        <v>46</v>
      </c>
      <c r="P10" s="46">
        <f>27017+960+52680+152850+48441+8000+2500+49360</f>
        <v>341808</v>
      </c>
      <c r="Q10" s="45">
        <f>38+7+13+6+3+4+6+2+2</f>
        <v>81</v>
      </c>
      <c r="R10" s="48">
        <f>123093+63820+22505+19257+21000+9000+4033.33+18832+20000</f>
        <v>301540.33</v>
      </c>
      <c r="S10" s="45">
        <f>1+55+17+27+6+8+2+2+8+8+23+2+1</f>
        <v>160</v>
      </c>
      <c r="T10" s="46">
        <f>13025+170157+127313+165285+83840+15848+14000+65000+5000+5176.58+125408+85156+10000</f>
        <v>885208.58</v>
      </c>
      <c r="U10" s="45">
        <f>3+23+25+28+4+9+3+6+35+1</f>
        <v>137</v>
      </c>
      <c r="V10" s="46">
        <f>10000+47330+92281+131519+51800+15000+14000.33+106617+19275.36</f>
        <v>487822.69</v>
      </c>
      <c r="W10" s="49"/>
      <c r="X10" s="50"/>
      <c r="Y10" s="51"/>
      <c r="Z10" s="50"/>
    </row>
    <row r="11" spans="1:26" ht="21" customHeight="1" x14ac:dyDescent="0.25">
      <c r="A11" s="162"/>
      <c r="B11" s="44" t="s">
        <v>97</v>
      </c>
      <c r="C11" s="56">
        <f>9+1</f>
        <v>10</v>
      </c>
      <c r="D11" s="58">
        <f>365338+10000</f>
        <v>375338</v>
      </c>
      <c r="E11" s="59">
        <f>1+6</f>
        <v>7</v>
      </c>
      <c r="F11" s="58">
        <f>19800</f>
        <v>19800</v>
      </c>
      <c r="G11" s="56">
        <f>2+8+3</f>
        <v>13</v>
      </c>
      <c r="H11" s="58">
        <f>36230+101941.85+46201</f>
        <v>184372.85</v>
      </c>
      <c r="I11" s="56">
        <f>1+5+3+2+7+4+3</f>
        <v>25</v>
      </c>
      <c r="J11" s="58">
        <f>48478+70089+30000+63200+49397+30000</f>
        <v>291164</v>
      </c>
      <c r="K11" s="56">
        <f>4+5+2+7</f>
        <v>18</v>
      </c>
      <c r="L11" s="58">
        <f>71908+23798+41872+155000</f>
        <v>292578</v>
      </c>
      <c r="M11" s="45">
        <v>1</v>
      </c>
      <c r="N11" s="46">
        <v>15000</v>
      </c>
      <c r="O11" s="45">
        <f>2+1+1+4</f>
        <v>8</v>
      </c>
      <c r="P11" s="46">
        <f>30882+15000+86145</f>
        <v>132027</v>
      </c>
      <c r="Q11" s="45">
        <f>1+2+1+1+1+1+5</f>
        <v>12</v>
      </c>
      <c r="R11" s="48">
        <f>12122+108667+38419+32000+15000+76271</f>
        <v>282479</v>
      </c>
      <c r="S11" s="45">
        <f>3+5+2+2+5+2+2+7+1+1+1</f>
        <v>31</v>
      </c>
      <c r="T11" s="46">
        <f>60545+103028+43088+65447+113000+104000+24300+179819+37000+59000+30000</f>
        <v>819227</v>
      </c>
      <c r="U11" s="47">
        <f>5+1+1+2+2+5+3+6</f>
        <v>25</v>
      </c>
      <c r="V11" s="46">
        <f>182315+27990+35652+125000+30000+99416+29940.61+135000</f>
        <v>665313.61</v>
      </c>
      <c r="W11" s="51"/>
      <c r="X11" s="50"/>
      <c r="Y11" s="51"/>
      <c r="Z11" s="50"/>
    </row>
    <row r="12" spans="1:26" ht="15.75" customHeight="1" x14ac:dyDescent="0.25">
      <c r="A12" s="162" t="s">
        <v>98</v>
      </c>
      <c r="B12" s="44" t="s">
        <v>96</v>
      </c>
      <c r="C12" s="56">
        <f>4+2+2</f>
        <v>8</v>
      </c>
      <c r="D12" s="58">
        <v>0</v>
      </c>
      <c r="E12" s="56">
        <f>4+2+1</f>
        <v>7</v>
      </c>
      <c r="F12" s="58">
        <f>25000</f>
        <v>25000</v>
      </c>
      <c r="G12" s="56">
        <f>4+2+2</f>
        <v>8</v>
      </c>
      <c r="H12" s="58">
        <v>0</v>
      </c>
      <c r="I12" s="56">
        <f>9+2+1+4</f>
        <v>16</v>
      </c>
      <c r="J12" s="57">
        <f>21500+30000</f>
        <v>51500</v>
      </c>
      <c r="K12" s="56">
        <f>6+8+2+13</f>
        <v>29</v>
      </c>
      <c r="L12" s="58">
        <f>30000+186000</f>
        <v>216000</v>
      </c>
      <c r="M12" s="45">
        <v>3</v>
      </c>
      <c r="N12" s="46">
        <f>360000</f>
        <v>360000</v>
      </c>
      <c r="O12" s="45">
        <f>2+2</f>
        <v>4</v>
      </c>
      <c r="P12" s="46">
        <f>240000</f>
        <v>240000</v>
      </c>
      <c r="Q12" s="45">
        <v>2</v>
      </c>
      <c r="R12" s="48">
        <f>240000</f>
        <v>240000</v>
      </c>
      <c r="S12" s="45">
        <v>2</v>
      </c>
      <c r="T12" s="46">
        <v>240000</v>
      </c>
      <c r="U12" s="47">
        <f>2+3</f>
        <v>5</v>
      </c>
      <c r="V12" s="46">
        <v>16125</v>
      </c>
      <c r="W12" s="51"/>
      <c r="X12" s="50"/>
      <c r="Y12" s="51"/>
      <c r="Z12" s="50"/>
    </row>
    <row r="13" spans="1:26" ht="15.75" customHeight="1" x14ac:dyDescent="0.25">
      <c r="A13" s="162"/>
      <c r="B13" s="44" t="s">
        <v>97</v>
      </c>
      <c r="C13" s="56">
        <v>3</v>
      </c>
      <c r="D13" s="58">
        <v>0</v>
      </c>
      <c r="E13" s="56">
        <f>1+2+2+1</f>
        <v>6</v>
      </c>
      <c r="F13" s="58">
        <v>75000</v>
      </c>
      <c r="G13" s="56">
        <f>2+5</f>
        <v>7</v>
      </c>
      <c r="H13" s="58">
        <v>0</v>
      </c>
      <c r="I13" s="56">
        <f>1+7</f>
        <v>8</v>
      </c>
      <c r="J13" s="58">
        <f>90000</f>
        <v>90000</v>
      </c>
      <c r="K13" s="56">
        <f>4+3+1+7</f>
        <v>15</v>
      </c>
      <c r="L13" s="58">
        <f>90000+15000+480000</f>
        <v>585000</v>
      </c>
      <c r="M13" s="45">
        <v>2</v>
      </c>
      <c r="N13" s="46">
        <v>480000</v>
      </c>
      <c r="O13" s="45">
        <v>2</v>
      </c>
      <c r="P13" s="46">
        <v>480000</v>
      </c>
      <c r="Q13" s="45">
        <f>2+2</f>
        <v>4</v>
      </c>
      <c r="R13" s="52">
        <f>240000+480000</f>
        <v>720000</v>
      </c>
      <c r="S13" s="45">
        <v>2</v>
      </c>
      <c r="T13" s="46">
        <f>480000</f>
        <v>480000</v>
      </c>
      <c r="U13" s="45">
        <f>1+1+2</f>
        <v>4</v>
      </c>
      <c r="V13" s="46">
        <f>29940.61+36000+480000</f>
        <v>545940.61</v>
      </c>
      <c r="W13" s="51"/>
      <c r="X13" s="50"/>
      <c r="Y13" s="51"/>
      <c r="Z13" s="50"/>
    </row>
    <row r="14" spans="1:26" ht="21.75" customHeight="1" x14ac:dyDescent="0.25">
      <c r="A14" s="162" t="s">
        <v>99</v>
      </c>
      <c r="B14" s="44" t="s">
        <v>96</v>
      </c>
      <c r="C14" s="56">
        <v>14</v>
      </c>
      <c r="D14" s="58">
        <v>0</v>
      </c>
      <c r="E14" s="56">
        <v>5</v>
      </c>
      <c r="F14" s="58">
        <v>0</v>
      </c>
      <c r="G14" s="56">
        <f>8+1</f>
        <v>9</v>
      </c>
      <c r="H14" s="58">
        <v>0</v>
      </c>
      <c r="I14" s="56">
        <f>2+22</f>
        <v>24</v>
      </c>
      <c r="J14" s="58">
        <v>14400</v>
      </c>
      <c r="K14" s="56">
        <f>2+1</f>
        <v>3</v>
      </c>
      <c r="L14" s="58">
        <v>0</v>
      </c>
      <c r="M14" s="45">
        <v>0</v>
      </c>
      <c r="N14" s="46">
        <v>0</v>
      </c>
      <c r="O14" s="45">
        <f>3+4</f>
        <v>7</v>
      </c>
      <c r="P14" s="46">
        <f>19717+14277</f>
        <v>33994</v>
      </c>
      <c r="Q14" s="45">
        <f>1+2+7+2</f>
        <v>12</v>
      </c>
      <c r="R14" s="48">
        <f>8328+13898+74346+6813</f>
        <v>103385</v>
      </c>
      <c r="S14" s="45">
        <f>6+5+2+5</f>
        <v>18</v>
      </c>
      <c r="T14" s="46">
        <f>36938+21537+2000+16952</f>
        <v>77427</v>
      </c>
      <c r="U14" s="45">
        <f>3+3+11+12</f>
        <v>29</v>
      </c>
      <c r="V14" s="46">
        <f>26702+10864+103421+79419</f>
        <v>220406</v>
      </c>
      <c r="W14" s="51"/>
      <c r="X14" s="50"/>
      <c r="Y14" s="51"/>
      <c r="Z14" s="50"/>
    </row>
    <row r="15" spans="1:26" ht="23.25" customHeight="1" x14ac:dyDescent="0.25">
      <c r="A15" s="162"/>
      <c r="B15" s="44" t="s">
        <v>97</v>
      </c>
      <c r="C15" s="56">
        <f>8+1</f>
        <v>9</v>
      </c>
      <c r="D15" s="58">
        <v>0</v>
      </c>
      <c r="E15" s="56">
        <f>2+2+1</f>
        <v>5</v>
      </c>
      <c r="F15" s="58">
        <v>0</v>
      </c>
      <c r="G15" s="56">
        <f>5+2+2+1</f>
        <v>10</v>
      </c>
      <c r="H15" s="58">
        <v>0</v>
      </c>
      <c r="I15" s="56">
        <f>6+2+2+3</f>
        <v>13</v>
      </c>
      <c r="J15" s="58">
        <f>15000</f>
        <v>15000</v>
      </c>
      <c r="K15" s="59">
        <f>2+2+7+1</f>
        <v>12</v>
      </c>
      <c r="L15" s="58">
        <f>155000+10000</f>
        <v>165000</v>
      </c>
      <c r="M15" s="45">
        <v>0</v>
      </c>
      <c r="N15" s="46">
        <v>0</v>
      </c>
      <c r="O15" s="45">
        <f>5+2</f>
        <v>7</v>
      </c>
      <c r="P15" s="46">
        <f>144329+15373</f>
        <v>159702</v>
      </c>
      <c r="Q15" s="45">
        <v>4</v>
      </c>
      <c r="R15" s="48">
        <v>63238</v>
      </c>
      <c r="S15" s="45">
        <f>2+1</f>
        <v>3</v>
      </c>
      <c r="T15" s="46">
        <f>20202+15502</f>
        <v>35704</v>
      </c>
      <c r="U15" s="45">
        <f>5+1+3</f>
        <v>9</v>
      </c>
      <c r="V15" s="46">
        <f>91464+27000+26220</f>
        <v>144684</v>
      </c>
      <c r="W15" s="51"/>
      <c r="X15" s="50"/>
      <c r="Y15" s="51"/>
      <c r="Z15" s="50"/>
    </row>
    <row r="16" spans="1:26" ht="14.25" customHeight="1" x14ac:dyDescent="0.25">
      <c r="A16" s="162" t="s">
        <v>100</v>
      </c>
      <c r="B16" s="44" t="s">
        <v>96</v>
      </c>
      <c r="C16" s="56">
        <f>14+6</f>
        <v>20</v>
      </c>
      <c r="D16" s="58">
        <v>0</v>
      </c>
      <c r="E16" s="56">
        <f>5+2</f>
        <v>7</v>
      </c>
      <c r="F16" s="58">
        <v>0</v>
      </c>
      <c r="G16" s="56">
        <f>8+4+5</f>
        <v>17</v>
      </c>
      <c r="H16" s="58">
        <v>0</v>
      </c>
      <c r="I16" s="56">
        <f>2+6+7</f>
        <v>15</v>
      </c>
      <c r="J16" s="58">
        <v>0</v>
      </c>
      <c r="K16" s="59">
        <f>2+6+2+6</f>
        <v>16</v>
      </c>
      <c r="L16" s="58">
        <v>20000</v>
      </c>
      <c r="M16" s="45">
        <v>1</v>
      </c>
      <c r="N16" s="46">
        <v>0</v>
      </c>
      <c r="O16" s="45">
        <v>1</v>
      </c>
      <c r="P16" s="46">
        <v>0</v>
      </c>
      <c r="Q16" s="45">
        <v>1</v>
      </c>
      <c r="R16" s="48"/>
      <c r="S16" s="45">
        <f>2+8+1</f>
        <v>11</v>
      </c>
      <c r="T16" s="46">
        <v>80000</v>
      </c>
      <c r="U16" s="45">
        <v>1</v>
      </c>
      <c r="V16" s="46">
        <v>11000</v>
      </c>
      <c r="W16" s="51"/>
      <c r="X16" s="50"/>
      <c r="Y16" s="51"/>
      <c r="Z16" s="50"/>
    </row>
    <row r="17" spans="1:26" ht="30.75" customHeight="1" x14ac:dyDescent="0.25">
      <c r="A17" s="162"/>
      <c r="B17" s="44" t="s">
        <v>97</v>
      </c>
      <c r="C17" s="56">
        <f>8+2</f>
        <v>10</v>
      </c>
      <c r="D17" s="58">
        <v>0</v>
      </c>
      <c r="E17" s="56">
        <f>2+5+7</f>
        <v>14</v>
      </c>
      <c r="F17" s="58">
        <v>0</v>
      </c>
      <c r="G17" s="56">
        <f>2+1+5+4</f>
        <v>12</v>
      </c>
      <c r="H17" s="58">
        <v>0</v>
      </c>
      <c r="I17" s="56">
        <f>3+2</f>
        <v>5</v>
      </c>
      <c r="J17" s="58">
        <v>0</v>
      </c>
      <c r="K17" s="56">
        <f>1+4+2</f>
        <v>7</v>
      </c>
      <c r="L17" s="58">
        <v>0</v>
      </c>
      <c r="M17" s="45">
        <v>0</v>
      </c>
      <c r="N17" s="46">
        <v>0</v>
      </c>
      <c r="O17" s="45">
        <v>0</v>
      </c>
      <c r="P17" s="46">
        <v>0</v>
      </c>
      <c r="Q17" s="45">
        <v>1</v>
      </c>
      <c r="R17" s="48">
        <v>0</v>
      </c>
      <c r="S17" s="45">
        <v>0</v>
      </c>
      <c r="T17" s="46">
        <v>0</v>
      </c>
      <c r="U17" s="45">
        <f>6+1+7</f>
        <v>14</v>
      </c>
      <c r="V17" s="46">
        <f>30000+174594.03</f>
        <v>204594.03</v>
      </c>
      <c r="W17" s="51"/>
      <c r="X17" s="50"/>
      <c r="Y17" s="51"/>
      <c r="Z17" s="50"/>
    </row>
    <row r="18" spans="1:26" x14ac:dyDescent="0.25">
      <c r="A18" s="162" t="s">
        <v>101</v>
      </c>
      <c r="B18" s="44" t="s">
        <v>96</v>
      </c>
      <c r="C18" s="56">
        <v>0</v>
      </c>
      <c r="D18" s="58">
        <v>0</v>
      </c>
      <c r="E18" s="56">
        <v>2</v>
      </c>
      <c r="F18" s="58">
        <v>4000</v>
      </c>
      <c r="G18" s="56">
        <v>2</v>
      </c>
      <c r="H18" s="58">
        <v>6000</v>
      </c>
      <c r="I18" s="56">
        <v>5</v>
      </c>
      <c r="J18" s="58">
        <v>58000</v>
      </c>
      <c r="K18" s="56">
        <f>1+10+1</f>
        <v>12</v>
      </c>
      <c r="L18" s="58">
        <f>54530+1546.8</f>
        <v>56076.800000000003</v>
      </c>
      <c r="M18" s="45">
        <v>3</v>
      </c>
      <c r="N18" s="46">
        <v>12000</v>
      </c>
      <c r="O18" s="45">
        <f>1+4+3+4</f>
        <v>12</v>
      </c>
      <c r="P18" s="46">
        <f>13800+18000+5580+37312</f>
        <v>74692</v>
      </c>
      <c r="Q18" s="45">
        <f>1+3+1+3+2+1+6+9</f>
        <v>26</v>
      </c>
      <c r="R18" s="48">
        <f>10925+4754+7433+300000+87800+35000+25000+61760</f>
        <v>532672</v>
      </c>
      <c r="S18" s="45">
        <f>6+3+3+6+3+6+1+5+3+6+5</f>
        <v>47</v>
      </c>
      <c r="T18" s="46">
        <f>57177+19690+270000+30543+65443+14678.38+37052+15000+22132+50213</f>
        <v>581928.38</v>
      </c>
      <c r="U18" s="45">
        <f>6+31+3+5+4+3+11+4+14+6+1</f>
        <v>88</v>
      </c>
      <c r="V18" s="46">
        <f>73677+34540+33821+22160+34093+67540+22000+47939.94+59994+19275.36</f>
        <v>415040.3</v>
      </c>
      <c r="W18" s="51"/>
      <c r="X18" s="50"/>
      <c r="Y18" s="51"/>
      <c r="Z18" s="50"/>
    </row>
    <row r="19" spans="1:26" x14ac:dyDescent="0.25">
      <c r="A19" s="162"/>
      <c r="B19" s="44" t="s">
        <v>97</v>
      </c>
      <c r="C19" s="56">
        <v>0</v>
      </c>
      <c r="D19" s="58">
        <v>0</v>
      </c>
      <c r="E19" s="56">
        <v>0</v>
      </c>
      <c r="F19" s="58">
        <v>0</v>
      </c>
      <c r="G19" s="56">
        <v>4</v>
      </c>
      <c r="H19" s="58">
        <v>156000</v>
      </c>
      <c r="I19" s="56">
        <v>3</v>
      </c>
      <c r="J19" s="58">
        <v>101000</v>
      </c>
      <c r="K19" s="56">
        <v>0</v>
      </c>
      <c r="L19" s="58">
        <v>0</v>
      </c>
      <c r="M19" s="45">
        <f>3+6</f>
        <v>9</v>
      </c>
      <c r="N19" s="46">
        <f>55000</f>
        <v>55000</v>
      </c>
      <c r="O19" s="45">
        <f>1+1+3+2</f>
        <v>7</v>
      </c>
      <c r="P19" s="46">
        <f>11102+75517+40000</f>
        <v>126619</v>
      </c>
      <c r="Q19" s="45">
        <f>6+1+2+3+8</f>
        <v>20</v>
      </c>
      <c r="R19" s="48">
        <f>222190+30454+79000</f>
        <v>331644</v>
      </c>
      <c r="S19" s="45">
        <f>1+4+1+2+3+14+2+1</f>
        <v>28</v>
      </c>
      <c r="T19" s="46">
        <f>71343+171480+8114+82611+50013+268400+54666+50677</f>
        <v>757304</v>
      </c>
      <c r="U19" s="45">
        <f>1+1+2+1+9+2+4+5+9+1+3</f>
        <v>38</v>
      </c>
      <c r="V19" s="46">
        <f>14070+38061+57170+62335+39784+61817+69177.77+156505+32220+29940.61</f>
        <v>561080.38</v>
      </c>
      <c r="W19" s="51"/>
      <c r="X19" s="50"/>
      <c r="Y19" s="51"/>
      <c r="Z19" s="50"/>
    </row>
    <row r="20" spans="1:26" x14ac:dyDescent="0.25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T20" s="50"/>
      <c r="V20" s="42"/>
      <c r="W20" s="53"/>
      <c r="X20" s="54"/>
      <c r="Y20" s="53"/>
      <c r="Z20" s="54"/>
    </row>
    <row r="21" spans="1:26" x14ac:dyDescent="0.25">
      <c r="A21" s="62" t="s">
        <v>91</v>
      </c>
      <c r="B21" s="63" t="s">
        <v>92</v>
      </c>
      <c r="C21" s="62" t="s">
        <v>102</v>
      </c>
      <c r="D21" s="61"/>
      <c r="E21" s="61"/>
      <c r="F21" s="61"/>
      <c r="G21" s="61"/>
      <c r="H21" s="61"/>
      <c r="I21" s="61"/>
      <c r="J21" s="61"/>
      <c r="K21" s="61"/>
      <c r="L21" s="61"/>
    </row>
    <row r="22" spans="1:26" x14ac:dyDescent="0.25">
      <c r="A22" s="162" t="s">
        <v>103</v>
      </c>
      <c r="B22" s="64" t="s">
        <v>96</v>
      </c>
      <c r="C22" s="56">
        <f>8+15+2+14+2+19+11+4+1+19+3+4+5+9+2+19+4+6+1</f>
        <v>148</v>
      </c>
      <c r="D22" s="61"/>
      <c r="E22" s="61"/>
      <c r="F22" s="61"/>
      <c r="G22" s="61"/>
      <c r="H22" s="61"/>
      <c r="I22" s="61"/>
      <c r="J22" s="61"/>
      <c r="K22" s="61"/>
      <c r="L22" s="61"/>
    </row>
    <row r="23" spans="1:26" ht="31.5" customHeight="1" x14ac:dyDescent="0.25">
      <c r="A23" s="162"/>
      <c r="B23" s="64" t="s">
        <v>97</v>
      </c>
      <c r="C23" s="56">
        <f>8+10+2+5+2+2+7+3+2+19+2+2+9+1+17+3+2</f>
        <v>96</v>
      </c>
      <c r="D23" s="61"/>
      <c r="E23" s="61"/>
      <c r="F23" s="61"/>
      <c r="G23" s="61"/>
      <c r="H23" s="61"/>
      <c r="I23" s="61"/>
      <c r="J23" s="61"/>
      <c r="K23" s="61"/>
      <c r="L23" s="61"/>
    </row>
    <row r="24" spans="1:26" x14ac:dyDescent="0.25">
      <c r="A24" s="162" t="s">
        <v>104</v>
      </c>
      <c r="B24" s="64" t="s">
        <v>96</v>
      </c>
      <c r="C24" s="56">
        <f>22+10+3+0+5+13+11+4+1+6+3+4+6+2+47-8+4+10+1</f>
        <v>144</v>
      </c>
      <c r="D24" s="61"/>
      <c r="E24" s="61"/>
      <c r="F24" s="61"/>
      <c r="G24" s="61"/>
      <c r="H24" s="61"/>
      <c r="I24" s="61"/>
      <c r="J24" s="61"/>
      <c r="K24" s="61"/>
      <c r="L24" s="61"/>
    </row>
    <row r="25" spans="1:26" ht="49.5" customHeight="1" x14ac:dyDescent="0.25">
      <c r="A25" s="162"/>
      <c r="B25" s="64" t="s">
        <v>97</v>
      </c>
      <c r="C25" s="56">
        <f>15+8+1+10+3+3+1+10+2+4-6+1-9+1</f>
        <v>44</v>
      </c>
      <c r="D25" s="61"/>
      <c r="E25" s="61"/>
      <c r="F25" s="61"/>
      <c r="G25" s="61"/>
      <c r="H25" s="61"/>
      <c r="I25" s="61"/>
      <c r="J25" s="61"/>
      <c r="K25" s="61"/>
      <c r="L25" s="61"/>
    </row>
    <row r="26" spans="1:26" x14ac:dyDescent="0.25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</row>
    <row r="27" spans="1:26" x14ac:dyDescent="0.25">
      <c r="A27" s="63" t="s">
        <v>91</v>
      </c>
      <c r="B27" s="63" t="s">
        <v>92</v>
      </c>
      <c r="C27" s="63" t="s">
        <v>105</v>
      </c>
      <c r="D27" s="63" t="s">
        <v>106</v>
      </c>
      <c r="E27" s="61"/>
      <c r="F27" s="61"/>
      <c r="G27" s="61"/>
      <c r="H27" s="61"/>
      <c r="I27" s="61"/>
      <c r="J27" s="61"/>
      <c r="K27" s="61"/>
      <c r="L27" s="61"/>
    </row>
    <row r="28" spans="1:26" ht="15" customHeight="1" x14ac:dyDescent="0.25">
      <c r="A28" s="162" t="s">
        <v>107</v>
      </c>
      <c r="B28" s="64" t="s">
        <v>96</v>
      </c>
      <c r="C28" s="56">
        <f>1+1</f>
        <v>2</v>
      </c>
      <c r="D28" s="56">
        <f>1+1</f>
        <v>2</v>
      </c>
      <c r="E28" s="61"/>
      <c r="F28" s="61"/>
      <c r="G28" s="61"/>
      <c r="H28" s="61"/>
      <c r="I28" s="61"/>
      <c r="J28" s="61"/>
      <c r="K28" s="61"/>
      <c r="L28" s="61"/>
    </row>
    <row r="29" spans="1:26" ht="34.5" customHeight="1" x14ac:dyDescent="0.25">
      <c r="A29" s="162"/>
      <c r="B29" s="64" t="s">
        <v>97</v>
      </c>
      <c r="C29" s="56">
        <f>5+3</f>
        <v>8</v>
      </c>
      <c r="D29" s="56">
        <v>2</v>
      </c>
      <c r="E29" s="61"/>
      <c r="F29" s="61"/>
      <c r="G29" s="61"/>
      <c r="H29" s="61"/>
      <c r="I29" s="61"/>
      <c r="J29" s="61"/>
      <c r="K29" s="61"/>
      <c r="L29" s="61"/>
    </row>
  </sheetData>
  <mergeCells count="22">
    <mergeCell ref="A28:A29"/>
    <mergeCell ref="O8:P8"/>
    <mergeCell ref="Q8:R8"/>
    <mergeCell ref="S8:T8"/>
    <mergeCell ref="U8:V8"/>
    <mergeCell ref="A10:A11"/>
    <mergeCell ref="A12:A13"/>
    <mergeCell ref="A14:A15"/>
    <mergeCell ref="A16:A17"/>
    <mergeCell ref="A18:A19"/>
    <mergeCell ref="A22:A23"/>
    <mergeCell ref="A24:A25"/>
    <mergeCell ref="A5:V5"/>
    <mergeCell ref="A7:B8"/>
    <mergeCell ref="C7:L7"/>
    <mergeCell ref="M7:V7"/>
    <mergeCell ref="C8:D8"/>
    <mergeCell ref="E8:F8"/>
    <mergeCell ref="G8:H8"/>
    <mergeCell ref="I8:J8"/>
    <mergeCell ref="K8:L8"/>
    <mergeCell ref="M8:N8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22"/>
  <sheetViews>
    <sheetView workbookViewId="0">
      <selection activeCell="G25" sqref="G25"/>
    </sheetView>
  </sheetViews>
  <sheetFormatPr baseColWidth="10" defaultRowHeight="15" x14ac:dyDescent="0.25"/>
  <cols>
    <col min="1" max="1" width="43.42578125" style="115" customWidth="1"/>
    <col min="2" max="2" width="12.5703125" style="115" customWidth="1"/>
    <col min="3" max="3" width="22" style="115" customWidth="1"/>
    <col min="4" max="16384" width="11.42578125" style="115"/>
  </cols>
  <sheetData>
    <row r="6" spans="1:3" x14ac:dyDescent="0.25">
      <c r="A6" s="163" t="s">
        <v>257</v>
      </c>
      <c r="B6" s="164"/>
      <c r="C6" s="165"/>
    </row>
    <row r="7" spans="1:3" x14ac:dyDescent="0.25">
      <c r="B7" s="121" t="s">
        <v>102</v>
      </c>
      <c r="C7" s="120" t="s">
        <v>94</v>
      </c>
    </row>
    <row r="8" spans="1:3" x14ac:dyDescent="0.25">
      <c r="A8" s="166" t="s">
        <v>256</v>
      </c>
      <c r="B8" s="167"/>
      <c r="C8" s="168"/>
    </row>
    <row r="9" spans="1:3" x14ac:dyDescent="0.25">
      <c r="A9" s="116" t="s">
        <v>255</v>
      </c>
      <c r="B9" s="116">
        <v>351</v>
      </c>
      <c r="C9" s="117">
        <v>18097875</v>
      </c>
    </row>
    <row r="10" spans="1:3" x14ac:dyDescent="0.25">
      <c r="A10" s="116" t="s">
        <v>254</v>
      </c>
      <c r="B10" s="116">
        <v>216</v>
      </c>
      <c r="C10" s="117">
        <v>16753928</v>
      </c>
    </row>
    <row r="11" spans="1:3" x14ac:dyDescent="0.25">
      <c r="A11" s="116" t="s">
        <v>253</v>
      </c>
      <c r="B11" s="116">
        <v>493</v>
      </c>
      <c r="C11" s="117">
        <v>930000</v>
      </c>
    </row>
    <row r="12" spans="1:3" x14ac:dyDescent="0.25">
      <c r="A12" s="116" t="s">
        <v>252</v>
      </c>
      <c r="B12" s="116">
        <v>187</v>
      </c>
      <c r="C12" s="117">
        <v>43762471</v>
      </c>
    </row>
    <row r="13" spans="1:3" x14ac:dyDescent="0.25">
      <c r="A13" s="116" t="s">
        <v>251</v>
      </c>
      <c r="B13" s="116">
        <v>7</v>
      </c>
      <c r="C13" s="117">
        <v>2886500</v>
      </c>
    </row>
    <row r="14" spans="1:3" x14ac:dyDescent="0.25">
      <c r="A14" s="169" t="s">
        <v>250</v>
      </c>
      <c r="B14" s="170"/>
      <c r="C14" s="171"/>
    </row>
    <row r="15" spans="1:3" x14ac:dyDescent="0.25">
      <c r="A15" s="116" t="s">
        <v>249</v>
      </c>
      <c r="B15" s="116">
        <v>1299</v>
      </c>
      <c r="C15" s="117">
        <v>103780</v>
      </c>
    </row>
    <row r="16" spans="1:3" x14ac:dyDescent="0.25">
      <c r="A16" s="116" t="s">
        <v>248</v>
      </c>
      <c r="B16" s="116">
        <v>848</v>
      </c>
      <c r="C16" s="117">
        <v>110000</v>
      </c>
    </row>
    <row r="17" spans="1:3" x14ac:dyDescent="0.25">
      <c r="A17" s="116" t="s">
        <v>247</v>
      </c>
      <c r="B17" s="116">
        <v>279</v>
      </c>
      <c r="C17" s="117">
        <v>20000</v>
      </c>
    </row>
    <row r="18" spans="1:3" x14ac:dyDescent="0.25">
      <c r="A18" s="116" t="s">
        <v>246</v>
      </c>
      <c r="B18" s="116">
        <v>93</v>
      </c>
      <c r="C18" s="117">
        <v>13020000</v>
      </c>
    </row>
    <row r="19" spans="1:3" x14ac:dyDescent="0.25">
      <c r="A19" s="119" t="s">
        <v>245</v>
      </c>
      <c r="B19" s="119">
        <v>115</v>
      </c>
      <c r="C19" s="117">
        <v>169500</v>
      </c>
    </row>
    <row r="20" spans="1:3" ht="30" x14ac:dyDescent="0.25">
      <c r="A20" s="118" t="s">
        <v>244</v>
      </c>
      <c r="B20" s="116">
        <v>480</v>
      </c>
      <c r="C20" s="117">
        <v>1525280</v>
      </c>
    </row>
    <row r="21" spans="1:3" x14ac:dyDescent="0.25">
      <c r="A21" s="166" t="s">
        <v>243</v>
      </c>
      <c r="B21" s="167"/>
      <c r="C21" s="168"/>
    </row>
    <row r="22" spans="1:3" x14ac:dyDescent="0.25">
      <c r="A22" s="116" t="s">
        <v>242</v>
      </c>
      <c r="B22" s="116"/>
      <c r="C22" s="116"/>
    </row>
  </sheetData>
  <mergeCells count="4">
    <mergeCell ref="A6:C6"/>
    <mergeCell ref="A8:C8"/>
    <mergeCell ref="A14:C14"/>
    <mergeCell ref="A21:C21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AR87"/>
  <sheetViews>
    <sheetView zoomScaleNormal="100" workbookViewId="0">
      <selection activeCell="AJ17" sqref="AJ17"/>
    </sheetView>
  </sheetViews>
  <sheetFormatPr baseColWidth="10" defaultRowHeight="12.75" x14ac:dyDescent="0.2"/>
  <cols>
    <col min="1" max="1" width="22.7109375" style="65" customWidth="1"/>
    <col min="2" max="2" width="3.85546875" style="65" customWidth="1"/>
    <col min="3" max="3" width="9" style="65" bestFit="1" customWidth="1"/>
    <col min="4" max="4" width="3.7109375" style="65" customWidth="1"/>
    <col min="5" max="5" width="3.85546875" style="65" customWidth="1"/>
    <col min="6" max="6" width="9" style="65" bestFit="1" customWidth="1"/>
    <col min="7" max="7" width="3.5703125" style="65" customWidth="1"/>
    <col min="8" max="8" width="3.85546875" style="65" customWidth="1"/>
    <col min="9" max="9" width="9" style="65" bestFit="1" customWidth="1"/>
    <col min="10" max="10" width="3.5703125" style="65" customWidth="1"/>
    <col min="11" max="11" width="3.85546875" style="65" customWidth="1"/>
    <col min="12" max="12" width="9" style="65" bestFit="1" customWidth="1"/>
    <col min="13" max="13" width="3.42578125" style="65" customWidth="1"/>
    <col min="14" max="14" width="3.85546875" style="65" customWidth="1"/>
    <col min="15" max="15" width="9" style="65" bestFit="1" customWidth="1"/>
    <col min="16" max="16" width="3.5703125" style="65" customWidth="1"/>
    <col min="17" max="17" width="3.85546875" style="65" customWidth="1"/>
    <col min="18" max="18" width="9" style="65" bestFit="1" customWidth="1"/>
    <col min="19" max="19" width="3.5703125" style="65" customWidth="1"/>
    <col min="20" max="20" width="3.85546875" style="65" customWidth="1"/>
    <col min="21" max="21" width="9" style="65" bestFit="1" customWidth="1"/>
    <col min="22" max="22" width="3.5703125" style="65" customWidth="1"/>
    <col min="23" max="23" width="3.85546875" style="65" customWidth="1"/>
    <col min="24" max="24" width="9" style="65" bestFit="1" customWidth="1"/>
    <col min="25" max="25" width="3.5703125" style="65" customWidth="1"/>
    <col min="26" max="26" width="3.85546875" style="65" customWidth="1"/>
    <col min="27" max="27" width="9" style="65" bestFit="1" customWidth="1"/>
    <col min="28" max="28" width="3.5703125" style="65" customWidth="1"/>
    <col min="29" max="29" width="3.85546875" style="65" customWidth="1"/>
    <col min="30" max="30" width="9" style="65" customWidth="1"/>
    <col min="31" max="31" width="3.5703125" style="65" customWidth="1"/>
    <col min="32" max="32" width="3.85546875" style="65" customWidth="1"/>
    <col min="33" max="33" width="9" style="65" bestFit="1" customWidth="1"/>
    <col min="34" max="34" width="3.5703125" style="65" customWidth="1"/>
    <col min="35" max="35" width="3.85546875" style="65" customWidth="1"/>
    <col min="36" max="36" width="9" style="65" bestFit="1" customWidth="1"/>
    <col min="37" max="37" width="3.5703125" style="65" customWidth="1"/>
    <col min="38" max="40" width="6.7109375" style="65" customWidth="1"/>
    <col min="41" max="16384" width="11.42578125" style="65"/>
  </cols>
  <sheetData>
    <row r="2" spans="1:44" x14ac:dyDescent="0.2">
      <c r="H2" s="66"/>
    </row>
    <row r="9" spans="1:44" ht="16.5" customHeight="1" x14ac:dyDescent="0.2">
      <c r="A9" s="172" t="s">
        <v>108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</row>
    <row r="10" spans="1:44" x14ac:dyDescent="0.2">
      <c r="A10" s="173"/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</row>
    <row r="11" spans="1:44" ht="51" customHeight="1" x14ac:dyDescent="0.2">
      <c r="A11" s="174" t="s">
        <v>0</v>
      </c>
      <c r="B11" s="175" t="s">
        <v>109</v>
      </c>
      <c r="C11" s="175"/>
      <c r="D11" s="175"/>
      <c r="E11" s="175" t="s">
        <v>110</v>
      </c>
      <c r="F11" s="175"/>
      <c r="G11" s="175"/>
      <c r="H11" s="175" t="s">
        <v>111</v>
      </c>
      <c r="I11" s="175"/>
      <c r="J11" s="175"/>
      <c r="K11" s="175" t="s">
        <v>112</v>
      </c>
      <c r="L11" s="175"/>
      <c r="M11" s="175"/>
      <c r="N11" s="175" t="s">
        <v>113</v>
      </c>
      <c r="O11" s="175"/>
      <c r="P11" s="175"/>
      <c r="Q11" s="175" t="s">
        <v>114</v>
      </c>
      <c r="R11" s="175"/>
      <c r="S11" s="175"/>
      <c r="T11" s="175" t="s">
        <v>115</v>
      </c>
      <c r="U11" s="175"/>
      <c r="V11" s="175"/>
      <c r="W11" s="175" t="s">
        <v>116</v>
      </c>
      <c r="X11" s="175"/>
      <c r="Y11" s="175"/>
      <c r="Z11" s="175" t="s">
        <v>117</v>
      </c>
      <c r="AA11" s="175"/>
      <c r="AB11" s="175"/>
      <c r="AC11" s="176" t="s">
        <v>118</v>
      </c>
      <c r="AD11" s="177"/>
      <c r="AE11" s="178"/>
      <c r="AF11" s="76"/>
      <c r="AG11" s="76"/>
      <c r="AH11" s="76"/>
      <c r="AI11" s="76"/>
      <c r="AJ11" s="76"/>
      <c r="AP11" s="76"/>
      <c r="AQ11" s="76"/>
      <c r="AR11" s="76"/>
    </row>
    <row r="12" spans="1:44" x14ac:dyDescent="0.2">
      <c r="A12" s="174"/>
      <c r="B12" s="67" t="s">
        <v>134</v>
      </c>
      <c r="C12" s="67" t="s">
        <v>119</v>
      </c>
      <c r="D12" s="67" t="s">
        <v>120</v>
      </c>
      <c r="E12" s="67" t="s">
        <v>134</v>
      </c>
      <c r="F12" s="67" t="s">
        <v>119</v>
      </c>
      <c r="G12" s="67" t="s">
        <v>120</v>
      </c>
      <c r="H12" s="67" t="s">
        <v>134</v>
      </c>
      <c r="I12" s="67" t="s">
        <v>119</v>
      </c>
      <c r="J12" s="67" t="s">
        <v>120</v>
      </c>
      <c r="K12" s="67" t="s">
        <v>134</v>
      </c>
      <c r="L12" s="67" t="s">
        <v>119</v>
      </c>
      <c r="M12" s="67" t="s">
        <v>120</v>
      </c>
      <c r="N12" s="67" t="s">
        <v>134</v>
      </c>
      <c r="O12" s="67" t="s">
        <v>119</v>
      </c>
      <c r="P12" s="67" t="s">
        <v>120</v>
      </c>
      <c r="Q12" s="67" t="s">
        <v>134</v>
      </c>
      <c r="R12" s="67" t="s">
        <v>119</v>
      </c>
      <c r="S12" s="67" t="s">
        <v>120</v>
      </c>
      <c r="T12" s="67" t="s">
        <v>134</v>
      </c>
      <c r="U12" s="67" t="s">
        <v>119</v>
      </c>
      <c r="V12" s="67" t="s">
        <v>120</v>
      </c>
      <c r="W12" s="67" t="s">
        <v>134</v>
      </c>
      <c r="X12" s="67" t="s">
        <v>119</v>
      </c>
      <c r="Y12" s="67" t="s">
        <v>120</v>
      </c>
      <c r="Z12" s="67" t="s">
        <v>134</v>
      </c>
      <c r="AA12" s="67" t="s">
        <v>119</v>
      </c>
      <c r="AB12" s="67" t="s">
        <v>120</v>
      </c>
      <c r="AC12" s="67" t="s">
        <v>134</v>
      </c>
      <c r="AD12" s="67" t="s">
        <v>119</v>
      </c>
      <c r="AE12" s="68" t="s">
        <v>120</v>
      </c>
      <c r="AF12" s="76"/>
      <c r="AG12" s="76"/>
      <c r="AH12" s="76"/>
      <c r="AI12" s="76"/>
      <c r="AJ12" s="76"/>
      <c r="AP12" s="76"/>
      <c r="AQ12" s="76"/>
      <c r="AR12" s="76"/>
    </row>
    <row r="13" spans="1:44" x14ac:dyDescent="0.2">
      <c r="A13" s="69" t="s">
        <v>10</v>
      </c>
      <c r="B13" s="70">
        <v>0</v>
      </c>
      <c r="C13" s="70">
        <v>0</v>
      </c>
      <c r="D13" s="70">
        <v>0</v>
      </c>
      <c r="E13" s="70">
        <v>5</v>
      </c>
      <c r="F13" s="70">
        <v>5</v>
      </c>
      <c r="G13" s="70">
        <f>(F13/E13)*100</f>
        <v>100</v>
      </c>
      <c r="H13" s="70">
        <v>16</v>
      </c>
      <c r="I13" s="70">
        <v>16</v>
      </c>
      <c r="J13" s="70">
        <f>(I13/H13)*100</f>
        <v>100</v>
      </c>
      <c r="K13" s="70">
        <v>4</v>
      </c>
      <c r="L13" s="70">
        <v>4</v>
      </c>
      <c r="M13" s="70">
        <f>(L13/K13)*100</f>
        <v>100</v>
      </c>
      <c r="N13" s="70">
        <v>0</v>
      </c>
      <c r="O13" s="70">
        <v>0</v>
      </c>
      <c r="P13" s="70">
        <v>0</v>
      </c>
      <c r="Q13" s="70">
        <v>10</v>
      </c>
      <c r="R13" s="70">
        <v>10</v>
      </c>
      <c r="S13" s="70">
        <f>(R13/Q13)*100</f>
        <v>100</v>
      </c>
      <c r="T13" s="70">
        <v>0</v>
      </c>
      <c r="U13" s="70">
        <v>0</v>
      </c>
      <c r="V13" s="70">
        <v>0</v>
      </c>
      <c r="W13" s="70">
        <v>7</v>
      </c>
      <c r="X13" s="70">
        <v>3</v>
      </c>
      <c r="Y13" s="70">
        <f>(X13/W13)*100</f>
        <v>42.857142857142854</v>
      </c>
      <c r="Z13" s="70">
        <v>0</v>
      </c>
      <c r="AA13" s="70">
        <v>0</v>
      </c>
      <c r="AB13" s="70">
        <v>0</v>
      </c>
      <c r="AC13" s="70">
        <v>1</v>
      </c>
      <c r="AD13" s="70">
        <v>0</v>
      </c>
      <c r="AE13" s="70">
        <v>0</v>
      </c>
      <c r="AF13" s="89"/>
      <c r="AG13" s="89"/>
      <c r="AH13" s="90"/>
      <c r="AI13" s="76"/>
      <c r="AJ13" s="76"/>
      <c r="AP13" s="76"/>
      <c r="AQ13" s="94"/>
      <c r="AR13" s="76"/>
    </row>
    <row r="14" spans="1:44" ht="24" customHeight="1" x14ac:dyDescent="0.2">
      <c r="A14" s="83" t="s">
        <v>63</v>
      </c>
      <c r="B14" s="70">
        <v>0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72">
        <v>0</v>
      </c>
      <c r="K14" s="70">
        <v>0</v>
      </c>
      <c r="L14" s="70">
        <v>0</v>
      </c>
      <c r="M14" s="70">
        <v>0</v>
      </c>
      <c r="N14" s="70">
        <v>0</v>
      </c>
      <c r="O14" s="70">
        <v>0</v>
      </c>
      <c r="P14" s="70">
        <v>0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70">
        <v>0</v>
      </c>
      <c r="AA14" s="70">
        <v>0</v>
      </c>
      <c r="AB14" s="70">
        <v>0</v>
      </c>
      <c r="AC14" s="70">
        <v>0</v>
      </c>
      <c r="AD14" s="70">
        <v>0</v>
      </c>
      <c r="AE14" s="70">
        <v>0</v>
      </c>
      <c r="AF14" s="89"/>
      <c r="AG14" s="89"/>
      <c r="AH14" s="90"/>
      <c r="AI14" s="76"/>
      <c r="AJ14" s="91"/>
      <c r="AP14" s="76"/>
      <c r="AQ14" s="94"/>
      <c r="AR14" s="76"/>
    </row>
    <row r="15" spans="1:44" ht="22.5" x14ac:dyDescent="0.2">
      <c r="A15" s="69" t="s">
        <v>62</v>
      </c>
      <c r="B15" s="70">
        <v>2</v>
      </c>
      <c r="C15" s="70">
        <v>2</v>
      </c>
      <c r="D15" s="70">
        <f>(C15/B15)*100</f>
        <v>100</v>
      </c>
      <c r="E15" s="70">
        <v>2</v>
      </c>
      <c r="F15" s="70">
        <v>2</v>
      </c>
      <c r="G15" s="70">
        <f t="shared" ref="G15:G22" si="0">(F15/E15)*100</f>
        <v>100</v>
      </c>
      <c r="H15" s="70">
        <v>4</v>
      </c>
      <c r="I15" s="70">
        <v>4</v>
      </c>
      <c r="J15" s="70">
        <f t="shared" ref="J15:J35" si="1">(I15/H15)*100</f>
        <v>100</v>
      </c>
      <c r="K15" s="70">
        <v>4</v>
      </c>
      <c r="L15" s="70">
        <v>4</v>
      </c>
      <c r="M15" s="70">
        <f t="shared" ref="M15:M36" si="2">(L15/K15)*100</f>
        <v>100</v>
      </c>
      <c r="N15" s="70">
        <v>2</v>
      </c>
      <c r="O15" s="70">
        <v>2</v>
      </c>
      <c r="P15" s="70">
        <f t="shared" ref="P15:P21" si="3">(O15/N15)*100</f>
        <v>100</v>
      </c>
      <c r="Q15" s="70">
        <v>4</v>
      </c>
      <c r="R15" s="70">
        <v>4</v>
      </c>
      <c r="S15" s="70">
        <f t="shared" ref="S15:S22" si="4">(R15/Q15)*100</f>
        <v>100</v>
      </c>
      <c r="T15" s="70">
        <v>2</v>
      </c>
      <c r="U15" s="70">
        <v>2</v>
      </c>
      <c r="V15" s="70">
        <f t="shared" ref="V15:V36" si="5">(U15/T15)*100</f>
        <v>100</v>
      </c>
      <c r="W15" s="70">
        <v>4</v>
      </c>
      <c r="X15" s="70">
        <v>3</v>
      </c>
      <c r="Y15" s="70">
        <f t="shared" ref="Y15:Y36" si="6">(X15/W15)*100</f>
        <v>75</v>
      </c>
      <c r="Z15" s="70">
        <v>4</v>
      </c>
      <c r="AA15" s="70">
        <v>4</v>
      </c>
      <c r="AB15" s="70">
        <f t="shared" ref="AB15:AB17" si="7">(AA15/Z15)*100</f>
        <v>100</v>
      </c>
      <c r="AC15" s="70">
        <v>2</v>
      </c>
      <c r="AD15" s="70">
        <v>2</v>
      </c>
      <c r="AE15" s="70">
        <f t="shared" ref="AE15:AE22" si="8">(AD15/AC15)*100</f>
        <v>100</v>
      </c>
      <c r="AF15" s="89"/>
      <c r="AG15" s="89"/>
      <c r="AH15" s="90"/>
      <c r="AI15" s="76"/>
      <c r="AJ15" s="76"/>
      <c r="AP15" s="76"/>
      <c r="AQ15" s="94"/>
      <c r="AR15" s="76"/>
    </row>
    <row r="16" spans="1:44" ht="23.1" customHeight="1" x14ac:dyDescent="0.2">
      <c r="A16" s="69" t="s">
        <v>61</v>
      </c>
      <c r="B16" s="70">
        <v>1</v>
      </c>
      <c r="C16" s="70">
        <v>1</v>
      </c>
      <c r="D16" s="70">
        <f t="shared" ref="D16:D22" si="9">(C16/B16)*100</f>
        <v>100</v>
      </c>
      <c r="E16" s="70">
        <v>12</v>
      </c>
      <c r="F16" s="70">
        <v>11</v>
      </c>
      <c r="G16" s="70">
        <f t="shared" si="0"/>
        <v>91.666666666666657</v>
      </c>
      <c r="H16" s="70">
        <v>13</v>
      </c>
      <c r="I16" s="70">
        <v>13</v>
      </c>
      <c r="J16" s="70">
        <f t="shared" si="1"/>
        <v>100</v>
      </c>
      <c r="K16" s="70">
        <v>0</v>
      </c>
      <c r="L16" s="70">
        <v>0</v>
      </c>
      <c r="M16" s="70">
        <v>0</v>
      </c>
      <c r="N16" s="70">
        <v>5</v>
      </c>
      <c r="O16" s="70">
        <v>5</v>
      </c>
      <c r="P16" s="70">
        <f t="shared" si="3"/>
        <v>100</v>
      </c>
      <c r="Q16" s="70">
        <v>7</v>
      </c>
      <c r="R16" s="70">
        <v>7</v>
      </c>
      <c r="S16" s="70">
        <f t="shared" si="4"/>
        <v>100</v>
      </c>
      <c r="T16" s="70">
        <v>8</v>
      </c>
      <c r="U16" s="70">
        <v>8</v>
      </c>
      <c r="V16" s="70">
        <f t="shared" si="5"/>
        <v>100</v>
      </c>
      <c r="W16" s="70">
        <v>11</v>
      </c>
      <c r="X16" s="70">
        <v>9</v>
      </c>
      <c r="Y16" s="70">
        <f t="shared" si="6"/>
        <v>81.818181818181827</v>
      </c>
      <c r="Z16" s="70">
        <v>2</v>
      </c>
      <c r="AA16" s="70">
        <v>2</v>
      </c>
      <c r="AB16" s="70">
        <f t="shared" si="7"/>
        <v>100</v>
      </c>
      <c r="AC16" s="70">
        <v>1</v>
      </c>
      <c r="AD16" s="70">
        <v>1</v>
      </c>
      <c r="AE16" s="70">
        <f t="shared" si="8"/>
        <v>100</v>
      </c>
      <c r="AF16" s="89"/>
      <c r="AG16" s="89"/>
      <c r="AH16" s="90"/>
      <c r="AI16" s="76"/>
      <c r="AJ16" s="76"/>
      <c r="AP16" s="76"/>
      <c r="AQ16" s="94"/>
      <c r="AR16" s="76"/>
    </row>
    <row r="17" spans="1:44" ht="23.1" customHeight="1" x14ac:dyDescent="0.2">
      <c r="A17" s="69" t="s">
        <v>60</v>
      </c>
      <c r="B17" s="70">
        <v>5</v>
      </c>
      <c r="C17" s="70">
        <v>4</v>
      </c>
      <c r="D17" s="70">
        <f t="shared" si="9"/>
        <v>80</v>
      </c>
      <c r="E17" s="70">
        <v>4</v>
      </c>
      <c r="F17" s="70">
        <v>4</v>
      </c>
      <c r="G17" s="70">
        <f t="shared" si="0"/>
        <v>100</v>
      </c>
      <c r="H17" s="70">
        <v>9</v>
      </c>
      <c r="I17" s="70">
        <v>9</v>
      </c>
      <c r="J17" s="70">
        <f t="shared" si="1"/>
        <v>100</v>
      </c>
      <c r="K17" s="70">
        <v>11</v>
      </c>
      <c r="L17" s="70">
        <v>8</v>
      </c>
      <c r="M17" s="70">
        <f t="shared" si="2"/>
        <v>72.727272727272734</v>
      </c>
      <c r="N17" s="70">
        <v>7</v>
      </c>
      <c r="O17" s="70">
        <v>6</v>
      </c>
      <c r="P17" s="70">
        <f t="shared" si="3"/>
        <v>85.714285714285708</v>
      </c>
      <c r="Q17" s="70">
        <v>14</v>
      </c>
      <c r="R17" s="70">
        <v>10</v>
      </c>
      <c r="S17" s="70">
        <f t="shared" si="4"/>
        <v>71.428571428571431</v>
      </c>
      <c r="T17" s="70">
        <v>10</v>
      </c>
      <c r="U17" s="70">
        <v>9</v>
      </c>
      <c r="V17" s="70">
        <f t="shared" si="5"/>
        <v>90</v>
      </c>
      <c r="W17" s="70">
        <v>24</v>
      </c>
      <c r="X17" s="70">
        <v>19</v>
      </c>
      <c r="Y17" s="70">
        <f t="shared" si="6"/>
        <v>79.166666666666657</v>
      </c>
      <c r="Z17" s="70">
        <v>6</v>
      </c>
      <c r="AA17" s="70">
        <v>6</v>
      </c>
      <c r="AB17" s="70">
        <f t="shared" si="7"/>
        <v>100</v>
      </c>
      <c r="AC17" s="70">
        <v>6</v>
      </c>
      <c r="AD17" s="70">
        <v>6</v>
      </c>
      <c r="AE17" s="70">
        <f t="shared" si="8"/>
        <v>100</v>
      </c>
      <c r="AF17" s="89"/>
      <c r="AG17" s="89"/>
      <c r="AH17" s="90"/>
      <c r="AI17" s="76"/>
      <c r="AJ17" s="76"/>
      <c r="AP17" s="76"/>
      <c r="AQ17" s="94"/>
      <c r="AR17" s="76"/>
    </row>
    <row r="18" spans="1:44" ht="23.1" customHeight="1" x14ac:dyDescent="0.2">
      <c r="A18" s="69" t="s">
        <v>59</v>
      </c>
      <c r="B18" s="73">
        <v>8</v>
      </c>
      <c r="C18" s="73">
        <v>0</v>
      </c>
      <c r="D18" s="70">
        <f t="shared" si="9"/>
        <v>0</v>
      </c>
      <c r="E18" s="73">
        <v>13</v>
      </c>
      <c r="F18" s="73">
        <v>13</v>
      </c>
      <c r="G18" s="70">
        <f t="shared" si="0"/>
        <v>100</v>
      </c>
      <c r="H18" s="73">
        <v>3</v>
      </c>
      <c r="I18" s="73">
        <v>3</v>
      </c>
      <c r="J18" s="70">
        <f t="shared" si="1"/>
        <v>100</v>
      </c>
      <c r="K18" s="73">
        <v>0</v>
      </c>
      <c r="L18" s="73">
        <v>0</v>
      </c>
      <c r="M18" s="70">
        <v>0</v>
      </c>
      <c r="N18" s="73">
        <v>3</v>
      </c>
      <c r="O18" s="73">
        <v>3</v>
      </c>
      <c r="P18" s="70">
        <f t="shared" si="3"/>
        <v>100</v>
      </c>
      <c r="Q18" s="73">
        <v>14</v>
      </c>
      <c r="R18" s="73">
        <v>7</v>
      </c>
      <c r="S18" s="70">
        <f t="shared" si="4"/>
        <v>50</v>
      </c>
      <c r="T18" s="73">
        <v>17</v>
      </c>
      <c r="U18" s="73">
        <v>17</v>
      </c>
      <c r="V18" s="70">
        <f t="shared" si="5"/>
        <v>100</v>
      </c>
      <c r="W18" s="73">
        <v>8</v>
      </c>
      <c r="X18" s="73">
        <v>8</v>
      </c>
      <c r="Y18" s="70">
        <f t="shared" si="6"/>
        <v>100</v>
      </c>
      <c r="Z18" s="73">
        <v>0</v>
      </c>
      <c r="AA18" s="73">
        <v>0</v>
      </c>
      <c r="AB18" s="73">
        <v>0</v>
      </c>
      <c r="AC18" s="73">
        <v>2</v>
      </c>
      <c r="AD18" s="73">
        <v>2</v>
      </c>
      <c r="AE18" s="70">
        <f t="shared" si="8"/>
        <v>100</v>
      </c>
      <c r="AF18" s="89"/>
      <c r="AG18" s="89"/>
      <c r="AH18" s="90"/>
      <c r="AI18" s="92"/>
      <c r="AJ18" s="92"/>
      <c r="AK18" s="74"/>
      <c r="AL18" s="74"/>
      <c r="AM18" s="74"/>
      <c r="AN18" s="74"/>
      <c r="AO18" s="74"/>
      <c r="AP18" s="92"/>
      <c r="AQ18" s="94"/>
      <c r="AR18" s="76"/>
    </row>
    <row r="19" spans="1:44" ht="22.5" x14ac:dyDescent="0.2">
      <c r="A19" s="69" t="s">
        <v>58</v>
      </c>
      <c r="B19" s="70">
        <v>3</v>
      </c>
      <c r="C19" s="70">
        <v>3</v>
      </c>
      <c r="D19" s="70">
        <f t="shared" si="9"/>
        <v>100</v>
      </c>
      <c r="E19" s="70">
        <v>4</v>
      </c>
      <c r="F19" s="70">
        <v>4</v>
      </c>
      <c r="G19" s="70">
        <f t="shared" si="0"/>
        <v>100</v>
      </c>
      <c r="H19" s="70">
        <v>2</v>
      </c>
      <c r="I19" s="70">
        <v>2</v>
      </c>
      <c r="J19" s="70">
        <f t="shared" si="1"/>
        <v>100</v>
      </c>
      <c r="K19" s="70">
        <v>2</v>
      </c>
      <c r="L19" s="70">
        <v>2</v>
      </c>
      <c r="M19" s="70">
        <f t="shared" si="2"/>
        <v>100</v>
      </c>
      <c r="N19" s="70">
        <v>3</v>
      </c>
      <c r="O19" s="70">
        <v>3</v>
      </c>
      <c r="P19" s="70">
        <f t="shared" si="3"/>
        <v>100</v>
      </c>
      <c r="Q19" s="70">
        <v>8</v>
      </c>
      <c r="R19" s="70">
        <v>8</v>
      </c>
      <c r="S19" s="70">
        <f t="shared" si="4"/>
        <v>100</v>
      </c>
      <c r="T19" s="70">
        <v>3</v>
      </c>
      <c r="U19" s="70">
        <v>3</v>
      </c>
      <c r="V19" s="70">
        <f t="shared" si="5"/>
        <v>100</v>
      </c>
      <c r="W19" s="70">
        <v>4</v>
      </c>
      <c r="X19" s="70">
        <v>4</v>
      </c>
      <c r="Y19" s="70">
        <f t="shared" si="6"/>
        <v>100</v>
      </c>
      <c r="Z19" s="70">
        <v>2</v>
      </c>
      <c r="AA19" s="70">
        <v>2</v>
      </c>
      <c r="AB19" s="70">
        <f>(AA19/Z19)*100</f>
        <v>100</v>
      </c>
      <c r="AC19" s="70">
        <v>1</v>
      </c>
      <c r="AD19" s="70">
        <v>1</v>
      </c>
      <c r="AE19" s="70">
        <f t="shared" si="8"/>
        <v>100</v>
      </c>
      <c r="AF19" s="89"/>
      <c r="AG19" s="89"/>
      <c r="AH19" s="90"/>
      <c r="AI19" s="76"/>
      <c r="AJ19" s="76"/>
      <c r="AP19" s="76"/>
      <c r="AQ19" s="94"/>
      <c r="AR19" s="76"/>
    </row>
    <row r="20" spans="1:44" ht="22.5" x14ac:dyDescent="0.2">
      <c r="A20" s="69" t="s">
        <v>57</v>
      </c>
      <c r="B20" s="70">
        <v>6</v>
      </c>
      <c r="C20" s="70">
        <v>6</v>
      </c>
      <c r="D20" s="70">
        <f t="shared" si="9"/>
        <v>100</v>
      </c>
      <c r="E20" s="70">
        <v>6</v>
      </c>
      <c r="F20" s="75">
        <v>5.5</v>
      </c>
      <c r="G20" s="70">
        <f t="shared" si="0"/>
        <v>91.666666666666657</v>
      </c>
      <c r="H20" s="70">
        <v>12</v>
      </c>
      <c r="I20" s="70">
        <v>12</v>
      </c>
      <c r="J20" s="70">
        <f t="shared" si="1"/>
        <v>100</v>
      </c>
      <c r="K20" s="70">
        <v>3</v>
      </c>
      <c r="L20" s="70">
        <v>3</v>
      </c>
      <c r="M20" s="70">
        <f t="shared" si="2"/>
        <v>100</v>
      </c>
      <c r="N20" s="70">
        <v>1</v>
      </c>
      <c r="O20" s="70">
        <v>1</v>
      </c>
      <c r="P20" s="70">
        <f t="shared" si="3"/>
        <v>100</v>
      </c>
      <c r="Q20" s="70">
        <v>5</v>
      </c>
      <c r="R20" s="70">
        <v>5</v>
      </c>
      <c r="S20" s="70">
        <f t="shared" si="4"/>
        <v>100</v>
      </c>
      <c r="T20" s="70">
        <v>3</v>
      </c>
      <c r="U20" s="70">
        <v>2</v>
      </c>
      <c r="V20" s="70">
        <f t="shared" si="5"/>
        <v>66.666666666666657</v>
      </c>
      <c r="W20" s="70">
        <v>4</v>
      </c>
      <c r="X20" s="70">
        <v>4</v>
      </c>
      <c r="Y20" s="70">
        <f t="shared" si="6"/>
        <v>100</v>
      </c>
      <c r="Z20" s="70">
        <v>0</v>
      </c>
      <c r="AA20" s="70">
        <v>0</v>
      </c>
      <c r="AB20" s="70">
        <v>0</v>
      </c>
      <c r="AC20" s="70">
        <v>3</v>
      </c>
      <c r="AD20" s="70">
        <v>2</v>
      </c>
      <c r="AE20" s="70">
        <f t="shared" si="8"/>
        <v>66.666666666666657</v>
      </c>
      <c r="AF20" s="89"/>
      <c r="AG20" s="89"/>
      <c r="AH20" s="90"/>
      <c r="AI20" s="76"/>
      <c r="AJ20" s="76"/>
      <c r="AP20" s="76"/>
      <c r="AQ20" s="94"/>
      <c r="AR20" s="76"/>
    </row>
    <row r="21" spans="1:44" ht="23.25" customHeight="1" x14ac:dyDescent="0.2">
      <c r="A21" s="69" t="s">
        <v>56</v>
      </c>
      <c r="B21" s="73">
        <v>8</v>
      </c>
      <c r="C21" s="73">
        <v>8</v>
      </c>
      <c r="D21" s="70">
        <f t="shared" si="9"/>
        <v>100</v>
      </c>
      <c r="E21" s="73">
        <v>7</v>
      </c>
      <c r="F21" s="73">
        <v>6</v>
      </c>
      <c r="G21" s="70">
        <f t="shared" si="0"/>
        <v>85.714285714285708</v>
      </c>
      <c r="H21" s="73">
        <v>21</v>
      </c>
      <c r="I21" s="73">
        <v>21</v>
      </c>
      <c r="J21" s="70">
        <f t="shared" si="1"/>
        <v>100</v>
      </c>
      <c r="K21" s="73">
        <v>4</v>
      </c>
      <c r="L21" s="73">
        <v>4</v>
      </c>
      <c r="M21" s="70">
        <f t="shared" si="2"/>
        <v>100</v>
      </c>
      <c r="N21" s="73">
        <v>9</v>
      </c>
      <c r="O21" s="73">
        <v>6</v>
      </c>
      <c r="P21" s="70">
        <f t="shared" si="3"/>
        <v>66.666666666666657</v>
      </c>
      <c r="Q21" s="73">
        <v>13</v>
      </c>
      <c r="R21" s="73">
        <v>12</v>
      </c>
      <c r="S21" s="70">
        <f t="shared" si="4"/>
        <v>92.307692307692307</v>
      </c>
      <c r="T21" s="73">
        <v>10</v>
      </c>
      <c r="U21" s="73">
        <v>6</v>
      </c>
      <c r="V21" s="70">
        <f t="shared" si="5"/>
        <v>60</v>
      </c>
      <c r="W21" s="73">
        <v>15</v>
      </c>
      <c r="X21" s="73">
        <v>10</v>
      </c>
      <c r="Y21" s="70">
        <f t="shared" si="6"/>
        <v>66.666666666666657</v>
      </c>
      <c r="Z21" s="73">
        <v>1</v>
      </c>
      <c r="AA21" s="73">
        <v>1</v>
      </c>
      <c r="AB21" s="70">
        <f>(AA21/Z21)*100</f>
        <v>100</v>
      </c>
      <c r="AC21" s="73">
        <v>4</v>
      </c>
      <c r="AD21" s="73">
        <v>2</v>
      </c>
      <c r="AE21" s="70">
        <f t="shared" si="8"/>
        <v>50</v>
      </c>
      <c r="AF21" s="89"/>
      <c r="AG21" s="89"/>
      <c r="AH21" s="90"/>
      <c r="AI21" s="76"/>
      <c r="AJ21" s="76"/>
      <c r="AK21" s="76"/>
      <c r="AL21" s="76"/>
      <c r="AP21" s="76"/>
      <c r="AQ21" s="94"/>
      <c r="AR21" s="76"/>
    </row>
    <row r="22" spans="1:44" ht="22.5" x14ac:dyDescent="0.2">
      <c r="A22" s="69" t="s">
        <v>54</v>
      </c>
      <c r="B22" s="70">
        <v>14</v>
      </c>
      <c r="C22" s="70">
        <v>8</v>
      </c>
      <c r="D22" s="70">
        <f t="shared" si="9"/>
        <v>57.142857142857139</v>
      </c>
      <c r="E22" s="70">
        <v>16</v>
      </c>
      <c r="F22" s="70">
        <v>10</v>
      </c>
      <c r="G22" s="70">
        <f t="shared" si="0"/>
        <v>62.5</v>
      </c>
      <c r="H22" s="70">
        <v>19</v>
      </c>
      <c r="I22" s="70">
        <v>16</v>
      </c>
      <c r="J22" s="70">
        <f t="shared" si="1"/>
        <v>84.210526315789465</v>
      </c>
      <c r="K22" s="70">
        <v>4</v>
      </c>
      <c r="L22" s="70">
        <v>0</v>
      </c>
      <c r="M22" s="70">
        <f t="shared" si="2"/>
        <v>0</v>
      </c>
      <c r="N22" s="70">
        <v>3</v>
      </c>
      <c r="O22" s="70">
        <v>0</v>
      </c>
      <c r="P22" s="70">
        <v>0</v>
      </c>
      <c r="Q22" s="70">
        <v>6</v>
      </c>
      <c r="R22" s="70">
        <v>3</v>
      </c>
      <c r="S22" s="70">
        <f t="shared" si="4"/>
        <v>50</v>
      </c>
      <c r="T22" s="70">
        <v>5</v>
      </c>
      <c r="U22" s="70">
        <v>1</v>
      </c>
      <c r="V22" s="70">
        <f t="shared" si="5"/>
        <v>20</v>
      </c>
      <c r="W22" s="70">
        <v>10</v>
      </c>
      <c r="X22" s="70">
        <v>5</v>
      </c>
      <c r="Y22" s="70">
        <f t="shared" si="6"/>
        <v>50</v>
      </c>
      <c r="Z22" s="70">
        <v>1</v>
      </c>
      <c r="AA22" s="70">
        <v>0</v>
      </c>
      <c r="AB22" s="70">
        <v>0</v>
      </c>
      <c r="AC22" s="70">
        <v>2</v>
      </c>
      <c r="AD22" s="70">
        <v>2</v>
      </c>
      <c r="AE22" s="70">
        <f t="shared" si="8"/>
        <v>100</v>
      </c>
      <c r="AF22" s="89"/>
      <c r="AG22" s="89"/>
      <c r="AH22" s="90"/>
      <c r="AI22" s="76"/>
      <c r="AJ22" s="76"/>
      <c r="AP22" s="76"/>
      <c r="AQ22" s="94"/>
      <c r="AR22" s="76"/>
    </row>
    <row r="23" spans="1:44" x14ac:dyDescent="0.2">
      <c r="A23" s="69" t="s">
        <v>11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2</v>
      </c>
      <c r="I23" s="70">
        <v>2</v>
      </c>
      <c r="J23" s="70">
        <f t="shared" si="1"/>
        <v>100</v>
      </c>
      <c r="K23" s="70">
        <v>2</v>
      </c>
      <c r="L23" s="70">
        <v>2</v>
      </c>
      <c r="M23" s="70">
        <f t="shared" si="2"/>
        <v>100</v>
      </c>
      <c r="N23" s="70">
        <v>2</v>
      </c>
      <c r="O23" s="70">
        <v>1</v>
      </c>
      <c r="P23" s="70">
        <f t="shared" ref="P23:P36" si="10">(O23/N23)*100</f>
        <v>50</v>
      </c>
      <c r="Q23" s="70">
        <v>0</v>
      </c>
      <c r="R23" s="70">
        <v>0</v>
      </c>
      <c r="S23" s="70">
        <v>0</v>
      </c>
      <c r="T23" s="70">
        <v>2</v>
      </c>
      <c r="U23" s="70">
        <v>0</v>
      </c>
      <c r="V23" s="70">
        <f t="shared" si="5"/>
        <v>0</v>
      </c>
      <c r="W23" s="70">
        <v>2</v>
      </c>
      <c r="X23" s="70">
        <v>1</v>
      </c>
      <c r="Y23" s="70">
        <f t="shared" si="6"/>
        <v>50</v>
      </c>
      <c r="Z23" s="70">
        <v>2</v>
      </c>
      <c r="AA23" s="70">
        <v>2</v>
      </c>
      <c r="AB23" s="70">
        <f>(AA23/Z23)*100</f>
        <v>100</v>
      </c>
      <c r="AC23" s="70">
        <v>0</v>
      </c>
      <c r="AD23" s="70">
        <v>0</v>
      </c>
      <c r="AE23" s="70">
        <v>0</v>
      </c>
      <c r="AF23" s="89"/>
      <c r="AG23" s="89"/>
      <c r="AH23" s="90"/>
      <c r="AI23" s="76"/>
      <c r="AJ23" s="76"/>
      <c r="AP23" s="76"/>
      <c r="AQ23" s="94"/>
      <c r="AR23" s="76"/>
    </row>
    <row r="24" spans="1:44" x14ac:dyDescent="0.2">
      <c r="A24" s="69" t="s">
        <v>12</v>
      </c>
      <c r="B24" s="70">
        <v>8</v>
      </c>
      <c r="C24" s="70">
        <v>6</v>
      </c>
      <c r="D24" s="70">
        <f t="shared" ref="D24:D36" si="11">(C24/B24)*100</f>
        <v>75</v>
      </c>
      <c r="E24" s="70">
        <v>15</v>
      </c>
      <c r="F24" s="70">
        <v>11</v>
      </c>
      <c r="G24" s="70">
        <f t="shared" ref="G24:G36" si="12">(F24/E24)*100</f>
        <v>73.333333333333329</v>
      </c>
      <c r="H24" s="70">
        <v>50</v>
      </c>
      <c r="I24" s="70">
        <v>42</v>
      </c>
      <c r="J24" s="70">
        <f t="shared" si="1"/>
        <v>84</v>
      </c>
      <c r="K24" s="70">
        <v>19</v>
      </c>
      <c r="L24" s="70">
        <v>15</v>
      </c>
      <c r="M24" s="70">
        <f t="shared" si="2"/>
        <v>78.94736842105263</v>
      </c>
      <c r="N24" s="70">
        <v>7</v>
      </c>
      <c r="O24" s="70">
        <v>6</v>
      </c>
      <c r="P24" s="70">
        <f t="shared" si="10"/>
        <v>85.714285714285708</v>
      </c>
      <c r="Q24" s="70">
        <v>6</v>
      </c>
      <c r="R24" s="70">
        <v>6</v>
      </c>
      <c r="S24" s="70">
        <f t="shared" ref="S24:S36" si="13">(R24/Q24)*100</f>
        <v>100</v>
      </c>
      <c r="T24" s="70">
        <v>20</v>
      </c>
      <c r="U24" s="70">
        <v>16</v>
      </c>
      <c r="V24" s="70">
        <f t="shared" si="5"/>
        <v>80</v>
      </c>
      <c r="W24" s="70">
        <v>23</v>
      </c>
      <c r="X24" s="70">
        <v>15</v>
      </c>
      <c r="Y24" s="70">
        <f t="shared" si="6"/>
        <v>65.217391304347828</v>
      </c>
      <c r="Z24" s="70">
        <v>0</v>
      </c>
      <c r="AA24" s="70">
        <v>0</v>
      </c>
      <c r="AB24" s="70">
        <v>0</v>
      </c>
      <c r="AC24" s="70">
        <v>16</v>
      </c>
      <c r="AD24" s="70">
        <v>13</v>
      </c>
      <c r="AE24" s="70">
        <f t="shared" ref="AE24:AE34" si="14">(AD24/AC24)*100</f>
        <v>81.25</v>
      </c>
      <c r="AF24" s="89"/>
      <c r="AG24" s="89"/>
      <c r="AH24" s="90"/>
      <c r="AI24" s="76"/>
      <c r="AJ24" s="76"/>
      <c r="AP24" s="76"/>
      <c r="AQ24" s="94"/>
      <c r="AR24" s="76"/>
    </row>
    <row r="25" spans="1:44" ht="23.1" customHeight="1" x14ac:dyDescent="0.2">
      <c r="A25" s="69" t="s">
        <v>53</v>
      </c>
      <c r="B25" s="70">
        <v>3</v>
      </c>
      <c r="C25" s="70">
        <v>2</v>
      </c>
      <c r="D25" s="70">
        <f t="shared" si="11"/>
        <v>66.666666666666657</v>
      </c>
      <c r="E25" s="70">
        <v>4</v>
      </c>
      <c r="F25" s="70">
        <v>1</v>
      </c>
      <c r="G25" s="70">
        <f t="shared" si="12"/>
        <v>25</v>
      </c>
      <c r="H25" s="70">
        <v>7</v>
      </c>
      <c r="I25" s="70">
        <v>5</v>
      </c>
      <c r="J25" s="70">
        <f t="shared" si="1"/>
        <v>71.428571428571431</v>
      </c>
      <c r="K25" s="70">
        <v>2</v>
      </c>
      <c r="L25" s="70">
        <v>0</v>
      </c>
      <c r="M25" s="70">
        <f t="shared" si="2"/>
        <v>0</v>
      </c>
      <c r="N25" s="70">
        <v>8</v>
      </c>
      <c r="O25" s="70">
        <v>7</v>
      </c>
      <c r="P25" s="70">
        <f t="shared" si="10"/>
        <v>87.5</v>
      </c>
      <c r="Q25" s="70">
        <v>5</v>
      </c>
      <c r="R25" s="70">
        <v>3</v>
      </c>
      <c r="S25" s="70">
        <f t="shared" si="13"/>
        <v>60</v>
      </c>
      <c r="T25" s="70">
        <v>1</v>
      </c>
      <c r="U25" s="70">
        <v>1</v>
      </c>
      <c r="V25" s="70">
        <f t="shared" si="5"/>
        <v>100</v>
      </c>
      <c r="W25" s="70">
        <v>7</v>
      </c>
      <c r="X25" s="70">
        <v>4</v>
      </c>
      <c r="Y25" s="70">
        <f t="shared" si="6"/>
        <v>57.142857142857139</v>
      </c>
      <c r="Z25" s="70">
        <v>0</v>
      </c>
      <c r="AA25" s="70">
        <v>0</v>
      </c>
      <c r="AB25" s="70">
        <v>0</v>
      </c>
      <c r="AC25" s="70">
        <v>3</v>
      </c>
      <c r="AD25" s="70">
        <v>1</v>
      </c>
      <c r="AE25" s="70">
        <f t="shared" si="14"/>
        <v>33.333333333333329</v>
      </c>
      <c r="AF25" s="89"/>
      <c r="AG25" s="89"/>
      <c r="AH25" s="90"/>
      <c r="AI25" s="76"/>
      <c r="AJ25" s="76"/>
      <c r="AP25" s="76"/>
      <c r="AQ25" s="94"/>
      <c r="AR25" s="76"/>
    </row>
    <row r="26" spans="1:44" ht="23.1" customHeight="1" x14ac:dyDescent="0.2">
      <c r="A26" s="69" t="s">
        <v>52</v>
      </c>
      <c r="B26" s="77">
        <v>2</v>
      </c>
      <c r="C26" s="77">
        <v>2</v>
      </c>
      <c r="D26" s="70">
        <f t="shared" si="11"/>
        <v>100</v>
      </c>
      <c r="E26" s="77">
        <v>3</v>
      </c>
      <c r="F26" s="77">
        <v>2</v>
      </c>
      <c r="G26" s="70">
        <f t="shared" si="12"/>
        <v>66.666666666666657</v>
      </c>
      <c r="H26" s="77">
        <v>12</v>
      </c>
      <c r="I26" s="77">
        <v>8</v>
      </c>
      <c r="J26" s="70">
        <f t="shared" si="1"/>
        <v>66.666666666666657</v>
      </c>
      <c r="K26" s="77">
        <v>9</v>
      </c>
      <c r="L26" s="77">
        <v>4</v>
      </c>
      <c r="M26" s="70">
        <f t="shared" si="2"/>
        <v>44.444444444444443</v>
      </c>
      <c r="N26" s="77">
        <v>12</v>
      </c>
      <c r="O26" s="77">
        <v>8</v>
      </c>
      <c r="P26" s="70">
        <f t="shared" si="10"/>
        <v>66.666666666666657</v>
      </c>
      <c r="Q26" s="77">
        <v>12</v>
      </c>
      <c r="R26" s="77">
        <v>4</v>
      </c>
      <c r="S26" s="70">
        <f t="shared" si="13"/>
        <v>33.333333333333329</v>
      </c>
      <c r="T26" s="77">
        <v>7</v>
      </c>
      <c r="U26" s="77">
        <v>2</v>
      </c>
      <c r="V26" s="70">
        <f t="shared" si="5"/>
        <v>28.571428571428569</v>
      </c>
      <c r="W26" s="77">
        <v>10</v>
      </c>
      <c r="X26" s="77">
        <v>4</v>
      </c>
      <c r="Y26" s="70">
        <f t="shared" si="6"/>
        <v>40</v>
      </c>
      <c r="Z26" s="77">
        <v>0</v>
      </c>
      <c r="AA26" s="77">
        <v>0</v>
      </c>
      <c r="AB26" s="77">
        <v>0</v>
      </c>
      <c r="AC26" s="77">
        <v>5</v>
      </c>
      <c r="AD26" s="77">
        <v>4</v>
      </c>
      <c r="AE26" s="70">
        <f t="shared" si="14"/>
        <v>80</v>
      </c>
      <c r="AF26" s="89"/>
      <c r="AG26" s="89"/>
      <c r="AH26" s="90"/>
      <c r="AI26" s="76"/>
      <c r="AJ26" s="76"/>
      <c r="AP26" s="76"/>
      <c r="AQ26" s="94"/>
      <c r="AR26" s="76"/>
    </row>
    <row r="27" spans="1:44" ht="23.1" customHeight="1" x14ac:dyDescent="0.2">
      <c r="A27" s="69" t="s">
        <v>32</v>
      </c>
      <c r="B27" s="77">
        <v>4</v>
      </c>
      <c r="C27" s="77">
        <v>1</v>
      </c>
      <c r="D27" s="70">
        <f t="shared" si="11"/>
        <v>25</v>
      </c>
      <c r="E27" s="77">
        <v>4</v>
      </c>
      <c r="F27" s="77">
        <v>3</v>
      </c>
      <c r="G27" s="70">
        <f t="shared" si="12"/>
        <v>75</v>
      </c>
      <c r="H27" s="77">
        <v>9</v>
      </c>
      <c r="I27" s="77">
        <v>5</v>
      </c>
      <c r="J27" s="70">
        <f t="shared" si="1"/>
        <v>55.555555555555557</v>
      </c>
      <c r="K27" s="77">
        <v>4</v>
      </c>
      <c r="L27" s="77">
        <v>2</v>
      </c>
      <c r="M27" s="70">
        <f t="shared" si="2"/>
        <v>50</v>
      </c>
      <c r="N27" s="77">
        <v>9</v>
      </c>
      <c r="O27" s="77">
        <v>7</v>
      </c>
      <c r="P27" s="70">
        <f t="shared" si="10"/>
        <v>77.777777777777786</v>
      </c>
      <c r="Q27" s="77">
        <v>11</v>
      </c>
      <c r="R27" s="77">
        <v>7</v>
      </c>
      <c r="S27" s="70">
        <f t="shared" si="13"/>
        <v>63.636363636363633</v>
      </c>
      <c r="T27" s="77">
        <v>3</v>
      </c>
      <c r="U27" s="77">
        <v>3</v>
      </c>
      <c r="V27" s="70">
        <f t="shared" si="5"/>
        <v>100</v>
      </c>
      <c r="W27" s="77">
        <v>9</v>
      </c>
      <c r="X27" s="77">
        <v>5</v>
      </c>
      <c r="Y27" s="70">
        <f t="shared" si="6"/>
        <v>55.555555555555557</v>
      </c>
      <c r="Z27" s="77">
        <v>0</v>
      </c>
      <c r="AA27" s="77">
        <v>0</v>
      </c>
      <c r="AB27" s="77">
        <v>0</v>
      </c>
      <c r="AC27" s="77">
        <v>3</v>
      </c>
      <c r="AD27" s="77">
        <v>1</v>
      </c>
      <c r="AE27" s="70">
        <f t="shared" si="14"/>
        <v>33.333333333333329</v>
      </c>
      <c r="AF27" s="89"/>
      <c r="AG27" s="89"/>
      <c r="AH27" s="90"/>
      <c r="AI27" s="76"/>
      <c r="AJ27" s="76"/>
      <c r="AP27" s="76"/>
      <c r="AQ27" s="94"/>
      <c r="AR27" s="76"/>
    </row>
    <row r="28" spans="1:44" ht="23.1" customHeight="1" x14ac:dyDescent="0.2">
      <c r="A28" s="69" t="s">
        <v>51</v>
      </c>
      <c r="B28" s="77">
        <v>2</v>
      </c>
      <c r="C28" s="77">
        <v>2</v>
      </c>
      <c r="D28" s="70">
        <f t="shared" si="11"/>
        <v>100</v>
      </c>
      <c r="E28" s="77">
        <v>3</v>
      </c>
      <c r="F28" s="77">
        <v>2</v>
      </c>
      <c r="G28" s="70">
        <f t="shared" si="12"/>
        <v>66.666666666666657</v>
      </c>
      <c r="H28" s="77">
        <v>12</v>
      </c>
      <c r="I28" s="77">
        <v>8</v>
      </c>
      <c r="J28" s="70">
        <f t="shared" si="1"/>
        <v>66.666666666666657</v>
      </c>
      <c r="K28" s="77">
        <v>9</v>
      </c>
      <c r="L28" s="77">
        <v>4</v>
      </c>
      <c r="M28" s="70">
        <f t="shared" si="2"/>
        <v>44.444444444444443</v>
      </c>
      <c r="N28" s="77">
        <v>12</v>
      </c>
      <c r="O28" s="77">
        <v>8</v>
      </c>
      <c r="P28" s="70">
        <f t="shared" si="10"/>
        <v>66.666666666666657</v>
      </c>
      <c r="Q28" s="77">
        <v>12</v>
      </c>
      <c r="R28" s="77">
        <v>4</v>
      </c>
      <c r="S28" s="70">
        <f t="shared" si="13"/>
        <v>33.333333333333329</v>
      </c>
      <c r="T28" s="77">
        <v>7</v>
      </c>
      <c r="U28" s="77">
        <v>2</v>
      </c>
      <c r="V28" s="70">
        <f t="shared" si="5"/>
        <v>28.571428571428569</v>
      </c>
      <c r="W28" s="77">
        <v>10</v>
      </c>
      <c r="X28" s="77">
        <v>4</v>
      </c>
      <c r="Y28" s="70">
        <f t="shared" si="6"/>
        <v>40</v>
      </c>
      <c r="Z28" s="77">
        <v>0</v>
      </c>
      <c r="AA28" s="77">
        <v>0</v>
      </c>
      <c r="AB28" s="77">
        <v>0</v>
      </c>
      <c r="AC28" s="77">
        <v>5</v>
      </c>
      <c r="AD28" s="77">
        <v>4</v>
      </c>
      <c r="AE28" s="70">
        <f t="shared" si="14"/>
        <v>80</v>
      </c>
      <c r="AF28" s="89"/>
      <c r="AG28" s="89"/>
      <c r="AH28" s="90"/>
      <c r="AI28" s="76"/>
      <c r="AJ28" s="76"/>
      <c r="AP28" s="76"/>
      <c r="AQ28" s="94"/>
      <c r="AR28" s="76"/>
    </row>
    <row r="29" spans="1:44" ht="23.1" customHeight="1" x14ac:dyDescent="0.2">
      <c r="A29" s="69" t="s">
        <v>50</v>
      </c>
      <c r="B29" s="70">
        <v>3</v>
      </c>
      <c r="C29" s="70">
        <v>3</v>
      </c>
      <c r="D29" s="70">
        <f t="shared" si="11"/>
        <v>100</v>
      </c>
      <c r="E29" s="70">
        <v>3</v>
      </c>
      <c r="F29" s="70">
        <v>2</v>
      </c>
      <c r="G29" s="70">
        <f t="shared" si="12"/>
        <v>66.666666666666657</v>
      </c>
      <c r="H29" s="70">
        <v>8</v>
      </c>
      <c r="I29" s="70">
        <v>5</v>
      </c>
      <c r="J29" s="70">
        <f t="shared" si="1"/>
        <v>62.5</v>
      </c>
      <c r="K29" s="70">
        <v>10</v>
      </c>
      <c r="L29" s="70">
        <v>1</v>
      </c>
      <c r="M29" s="70">
        <f t="shared" si="2"/>
        <v>10</v>
      </c>
      <c r="N29" s="70">
        <v>2</v>
      </c>
      <c r="O29" s="70">
        <v>2</v>
      </c>
      <c r="P29" s="70">
        <f t="shared" si="10"/>
        <v>100</v>
      </c>
      <c r="Q29" s="70">
        <v>9</v>
      </c>
      <c r="R29" s="70">
        <v>1</v>
      </c>
      <c r="S29" s="70">
        <f t="shared" si="13"/>
        <v>11.111111111111111</v>
      </c>
      <c r="T29" s="70">
        <v>7</v>
      </c>
      <c r="U29" s="70">
        <v>4</v>
      </c>
      <c r="V29" s="70">
        <f t="shared" si="5"/>
        <v>57.142857142857139</v>
      </c>
      <c r="W29" s="70">
        <v>7</v>
      </c>
      <c r="X29" s="70">
        <v>2</v>
      </c>
      <c r="Y29" s="70">
        <f t="shared" si="6"/>
        <v>28.571428571428569</v>
      </c>
      <c r="Z29" s="70">
        <v>4</v>
      </c>
      <c r="AA29" s="70">
        <v>0</v>
      </c>
      <c r="AB29" s="77">
        <v>0</v>
      </c>
      <c r="AC29" s="70">
        <v>3</v>
      </c>
      <c r="AD29" s="70">
        <v>2</v>
      </c>
      <c r="AE29" s="70">
        <f t="shared" si="14"/>
        <v>66.666666666666657</v>
      </c>
      <c r="AF29" s="89"/>
      <c r="AG29" s="89"/>
      <c r="AH29" s="90"/>
      <c r="AI29" s="76"/>
      <c r="AJ29" s="76"/>
      <c r="AP29" s="76"/>
      <c r="AQ29" s="94"/>
      <c r="AR29" s="76"/>
    </row>
    <row r="30" spans="1:44" ht="23.1" customHeight="1" x14ac:dyDescent="0.2">
      <c r="A30" s="69" t="s">
        <v>49</v>
      </c>
      <c r="B30" s="70">
        <v>5</v>
      </c>
      <c r="C30" s="70">
        <v>4</v>
      </c>
      <c r="D30" s="70">
        <f t="shared" si="11"/>
        <v>80</v>
      </c>
      <c r="E30" s="70">
        <v>11</v>
      </c>
      <c r="F30" s="70">
        <v>10</v>
      </c>
      <c r="G30" s="70">
        <f t="shared" si="12"/>
        <v>90.909090909090907</v>
      </c>
      <c r="H30" s="70">
        <v>14</v>
      </c>
      <c r="I30" s="70">
        <v>14</v>
      </c>
      <c r="J30" s="70">
        <f t="shared" si="1"/>
        <v>100</v>
      </c>
      <c r="K30" s="70">
        <v>11</v>
      </c>
      <c r="L30" s="70">
        <v>9</v>
      </c>
      <c r="M30" s="70">
        <f t="shared" si="2"/>
        <v>81.818181818181827</v>
      </c>
      <c r="N30" s="70">
        <v>13</v>
      </c>
      <c r="O30" s="70">
        <v>12</v>
      </c>
      <c r="P30" s="70">
        <f t="shared" si="10"/>
        <v>92.307692307692307</v>
      </c>
      <c r="Q30" s="70">
        <v>6</v>
      </c>
      <c r="R30" s="70">
        <v>6</v>
      </c>
      <c r="S30" s="70">
        <f t="shared" si="13"/>
        <v>100</v>
      </c>
      <c r="T30" s="70">
        <v>5</v>
      </c>
      <c r="U30" s="70">
        <v>4</v>
      </c>
      <c r="V30" s="70">
        <f t="shared" si="5"/>
        <v>80</v>
      </c>
      <c r="W30" s="70">
        <v>7</v>
      </c>
      <c r="X30" s="70">
        <v>5</v>
      </c>
      <c r="Y30" s="70">
        <f t="shared" si="6"/>
        <v>71.428571428571431</v>
      </c>
      <c r="Z30" s="70">
        <v>2</v>
      </c>
      <c r="AA30" s="70">
        <v>2</v>
      </c>
      <c r="AB30" s="70">
        <f t="shared" ref="AB30:AB32" si="15">(AA30/Z30)*100</f>
        <v>100</v>
      </c>
      <c r="AC30" s="70">
        <v>3</v>
      </c>
      <c r="AD30" s="70">
        <v>3</v>
      </c>
      <c r="AE30" s="70">
        <f t="shared" si="14"/>
        <v>100</v>
      </c>
      <c r="AF30" s="89"/>
      <c r="AG30" s="89"/>
      <c r="AH30" s="90"/>
      <c r="AI30" s="76"/>
      <c r="AJ30" s="76"/>
      <c r="AP30" s="76"/>
      <c r="AQ30" s="94"/>
      <c r="AR30" s="76"/>
    </row>
    <row r="31" spans="1:44" x14ac:dyDescent="0.2">
      <c r="A31" s="69" t="s">
        <v>13</v>
      </c>
      <c r="B31" s="70">
        <v>21</v>
      </c>
      <c r="C31" s="70">
        <v>11</v>
      </c>
      <c r="D31" s="70">
        <f t="shared" si="11"/>
        <v>52.380952380952387</v>
      </c>
      <c r="E31" s="70">
        <v>15</v>
      </c>
      <c r="F31" s="70">
        <v>10</v>
      </c>
      <c r="G31" s="70">
        <f t="shared" si="12"/>
        <v>66.666666666666657</v>
      </c>
      <c r="H31" s="70">
        <v>29</v>
      </c>
      <c r="I31" s="70">
        <v>19</v>
      </c>
      <c r="J31" s="70">
        <f t="shared" si="1"/>
        <v>65.517241379310349</v>
      </c>
      <c r="K31" s="70">
        <v>18</v>
      </c>
      <c r="L31" s="70">
        <v>8</v>
      </c>
      <c r="M31" s="70">
        <f t="shared" si="2"/>
        <v>44.444444444444443</v>
      </c>
      <c r="N31" s="70">
        <v>11</v>
      </c>
      <c r="O31" s="70">
        <v>11</v>
      </c>
      <c r="P31" s="70">
        <f t="shared" si="10"/>
        <v>100</v>
      </c>
      <c r="Q31" s="70">
        <v>22</v>
      </c>
      <c r="R31" s="70">
        <v>12</v>
      </c>
      <c r="S31" s="70">
        <f t="shared" si="13"/>
        <v>54.54545454545454</v>
      </c>
      <c r="T31" s="70">
        <v>21</v>
      </c>
      <c r="U31" s="70">
        <v>21</v>
      </c>
      <c r="V31" s="70">
        <f t="shared" si="5"/>
        <v>100</v>
      </c>
      <c r="W31" s="70">
        <v>31</v>
      </c>
      <c r="X31" s="70">
        <v>17</v>
      </c>
      <c r="Y31" s="70">
        <f t="shared" si="6"/>
        <v>54.838709677419352</v>
      </c>
      <c r="Z31" s="70">
        <v>21</v>
      </c>
      <c r="AA31" s="70">
        <v>11</v>
      </c>
      <c r="AB31" s="70">
        <f t="shared" si="15"/>
        <v>52.380952380952387</v>
      </c>
      <c r="AC31" s="70">
        <v>11</v>
      </c>
      <c r="AD31" s="70">
        <v>11</v>
      </c>
      <c r="AE31" s="70">
        <f t="shared" si="14"/>
        <v>100</v>
      </c>
      <c r="AF31" s="89"/>
      <c r="AG31" s="89"/>
      <c r="AH31" s="90"/>
      <c r="AI31" s="76"/>
      <c r="AJ31" s="76"/>
      <c r="AP31" s="76"/>
      <c r="AQ31" s="94"/>
      <c r="AR31" s="76"/>
    </row>
    <row r="32" spans="1:44" x14ac:dyDescent="0.2">
      <c r="A32" s="69" t="s">
        <v>47</v>
      </c>
      <c r="B32" s="70">
        <v>2</v>
      </c>
      <c r="C32" s="70">
        <v>1</v>
      </c>
      <c r="D32" s="70">
        <f t="shared" si="11"/>
        <v>50</v>
      </c>
      <c r="E32" s="70">
        <v>8</v>
      </c>
      <c r="F32" s="70">
        <v>4</v>
      </c>
      <c r="G32" s="70">
        <f t="shared" si="12"/>
        <v>50</v>
      </c>
      <c r="H32" s="70">
        <v>12</v>
      </c>
      <c r="I32" s="70">
        <v>9</v>
      </c>
      <c r="J32" s="70">
        <f t="shared" si="1"/>
        <v>75</v>
      </c>
      <c r="K32" s="70">
        <v>10</v>
      </c>
      <c r="L32" s="70">
        <v>5</v>
      </c>
      <c r="M32" s="70">
        <f t="shared" si="2"/>
        <v>50</v>
      </c>
      <c r="N32" s="70">
        <v>15</v>
      </c>
      <c r="O32" s="70">
        <v>12</v>
      </c>
      <c r="P32" s="70">
        <f t="shared" si="10"/>
        <v>80</v>
      </c>
      <c r="Q32" s="70">
        <v>16</v>
      </c>
      <c r="R32" s="70">
        <v>8</v>
      </c>
      <c r="S32" s="70">
        <f t="shared" si="13"/>
        <v>50</v>
      </c>
      <c r="T32" s="70">
        <v>6</v>
      </c>
      <c r="U32" s="70">
        <v>5</v>
      </c>
      <c r="V32" s="70">
        <f t="shared" si="5"/>
        <v>83.333333333333343</v>
      </c>
      <c r="W32" s="70">
        <v>19</v>
      </c>
      <c r="X32" s="70">
        <v>10</v>
      </c>
      <c r="Y32" s="70">
        <f t="shared" si="6"/>
        <v>52.631578947368418</v>
      </c>
      <c r="Z32" s="70">
        <v>2</v>
      </c>
      <c r="AA32" s="70">
        <v>2</v>
      </c>
      <c r="AB32" s="70">
        <f t="shared" si="15"/>
        <v>100</v>
      </c>
      <c r="AC32" s="70">
        <v>7</v>
      </c>
      <c r="AD32" s="70">
        <v>6</v>
      </c>
      <c r="AE32" s="70">
        <f t="shared" si="14"/>
        <v>85.714285714285708</v>
      </c>
      <c r="AF32" s="89"/>
      <c r="AG32" s="89"/>
      <c r="AH32" s="90"/>
      <c r="AI32" s="76"/>
      <c r="AJ32" s="76"/>
      <c r="AP32" s="76"/>
      <c r="AQ32" s="94"/>
      <c r="AR32" s="76"/>
    </row>
    <row r="33" spans="1:44" x14ac:dyDescent="0.2">
      <c r="A33" s="69" t="s">
        <v>46</v>
      </c>
      <c r="B33" s="70">
        <v>2</v>
      </c>
      <c r="C33" s="70">
        <v>2</v>
      </c>
      <c r="D33" s="70">
        <f t="shared" si="11"/>
        <v>100</v>
      </c>
      <c r="E33" s="70">
        <v>4</v>
      </c>
      <c r="F33" s="70">
        <v>4</v>
      </c>
      <c r="G33" s="70">
        <f t="shared" si="12"/>
        <v>100</v>
      </c>
      <c r="H33" s="70">
        <v>5</v>
      </c>
      <c r="I33" s="70">
        <v>5</v>
      </c>
      <c r="J33" s="70">
        <f t="shared" si="1"/>
        <v>100</v>
      </c>
      <c r="K33" s="70">
        <v>3</v>
      </c>
      <c r="L33" s="70">
        <v>1</v>
      </c>
      <c r="M33" s="70">
        <f t="shared" si="2"/>
        <v>33.333333333333329</v>
      </c>
      <c r="N33" s="70">
        <v>6</v>
      </c>
      <c r="O33" s="70">
        <v>5</v>
      </c>
      <c r="P33" s="70">
        <f t="shared" si="10"/>
        <v>83.333333333333343</v>
      </c>
      <c r="Q33" s="70">
        <v>7</v>
      </c>
      <c r="R33" s="70">
        <v>5</v>
      </c>
      <c r="S33" s="70">
        <f t="shared" si="13"/>
        <v>71.428571428571431</v>
      </c>
      <c r="T33" s="70">
        <v>3</v>
      </c>
      <c r="U33" s="70">
        <v>2</v>
      </c>
      <c r="V33" s="70">
        <f t="shared" si="5"/>
        <v>66.666666666666657</v>
      </c>
      <c r="W33" s="70">
        <v>7</v>
      </c>
      <c r="X33" s="70">
        <v>6</v>
      </c>
      <c r="Y33" s="70">
        <f t="shared" si="6"/>
        <v>85.714285714285708</v>
      </c>
      <c r="Z33" s="70">
        <v>0</v>
      </c>
      <c r="AA33" s="70">
        <v>0</v>
      </c>
      <c r="AB33" s="70">
        <v>0</v>
      </c>
      <c r="AC33" s="70">
        <v>1</v>
      </c>
      <c r="AD33" s="70">
        <v>1</v>
      </c>
      <c r="AE33" s="70">
        <f t="shared" si="14"/>
        <v>100</v>
      </c>
      <c r="AF33" s="89"/>
      <c r="AG33" s="89"/>
      <c r="AH33" s="90"/>
      <c r="AI33" s="76"/>
      <c r="AJ33" s="76"/>
      <c r="AP33" s="76"/>
      <c r="AQ33" s="94"/>
      <c r="AR33" s="76"/>
    </row>
    <row r="34" spans="1:44" x14ac:dyDescent="0.2">
      <c r="A34" s="69" t="s">
        <v>45</v>
      </c>
      <c r="B34" s="70">
        <v>20</v>
      </c>
      <c r="C34" s="70">
        <v>20</v>
      </c>
      <c r="D34" s="70">
        <f t="shared" si="11"/>
        <v>100</v>
      </c>
      <c r="E34" s="70">
        <v>5</v>
      </c>
      <c r="F34" s="70">
        <v>5</v>
      </c>
      <c r="G34" s="70">
        <f t="shared" si="12"/>
        <v>100</v>
      </c>
      <c r="H34" s="70">
        <v>39</v>
      </c>
      <c r="I34" s="70">
        <v>39</v>
      </c>
      <c r="J34" s="70">
        <f t="shared" si="1"/>
        <v>100</v>
      </c>
      <c r="K34" s="70">
        <v>5</v>
      </c>
      <c r="L34" s="70">
        <v>5</v>
      </c>
      <c r="M34" s="70">
        <f t="shared" si="2"/>
        <v>100</v>
      </c>
      <c r="N34" s="70">
        <v>14</v>
      </c>
      <c r="O34" s="70">
        <v>14</v>
      </c>
      <c r="P34" s="70">
        <f t="shared" si="10"/>
        <v>100</v>
      </c>
      <c r="Q34" s="70">
        <v>12</v>
      </c>
      <c r="R34" s="70">
        <v>12</v>
      </c>
      <c r="S34" s="70">
        <f t="shared" si="13"/>
        <v>100</v>
      </c>
      <c r="T34" s="70">
        <v>14</v>
      </c>
      <c r="U34" s="70">
        <v>14</v>
      </c>
      <c r="V34" s="70">
        <f t="shared" si="5"/>
        <v>100</v>
      </c>
      <c r="W34" s="70">
        <v>26</v>
      </c>
      <c r="X34" s="70">
        <v>21</v>
      </c>
      <c r="Y34" s="70">
        <f t="shared" si="6"/>
        <v>80.769230769230774</v>
      </c>
      <c r="Z34" s="70">
        <v>3</v>
      </c>
      <c r="AA34" s="70">
        <v>3</v>
      </c>
      <c r="AB34" s="70">
        <f t="shared" ref="AB34:AB36" si="16">(AA34/Z34)*100</f>
        <v>100</v>
      </c>
      <c r="AC34" s="70">
        <v>6</v>
      </c>
      <c r="AD34" s="70">
        <v>6</v>
      </c>
      <c r="AE34" s="70">
        <f t="shared" si="14"/>
        <v>100</v>
      </c>
      <c r="AF34" s="89"/>
      <c r="AG34" s="89"/>
      <c r="AH34" s="90"/>
      <c r="AI34" s="76"/>
      <c r="AJ34" s="76"/>
      <c r="AP34" s="76"/>
      <c r="AQ34" s="94"/>
      <c r="AR34" s="76"/>
    </row>
    <row r="35" spans="1:44" ht="22.5" x14ac:dyDescent="0.2">
      <c r="A35" s="69" t="s">
        <v>44</v>
      </c>
      <c r="B35" s="70">
        <v>0</v>
      </c>
      <c r="C35" s="70">
        <v>0</v>
      </c>
      <c r="D35" s="70">
        <v>0</v>
      </c>
      <c r="E35" s="70">
        <v>1</v>
      </c>
      <c r="F35" s="70">
        <v>1</v>
      </c>
      <c r="G35" s="70">
        <f t="shared" si="12"/>
        <v>100</v>
      </c>
      <c r="H35" s="70">
        <v>4</v>
      </c>
      <c r="I35" s="70">
        <v>2</v>
      </c>
      <c r="J35" s="70">
        <f t="shared" si="1"/>
        <v>50</v>
      </c>
      <c r="K35" s="70">
        <v>2</v>
      </c>
      <c r="L35" s="70">
        <v>1</v>
      </c>
      <c r="M35" s="70">
        <f t="shared" si="2"/>
        <v>50</v>
      </c>
      <c r="N35" s="70">
        <v>4</v>
      </c>
      <c r="O35" s="70">
        <v>2</v>
      </c>
      <c r="P35" s="70">
        <f t="shared" si="10"/>
        <v>50</v>
      </c>
      <c r="Q35" s="70">
        <v>4</v>
      </c>
      <c r="R35" s="70">
        <v>3</v>
      </c>
      <c r="S35" s="70">
        <f t="shared" si="13"/>
        <v>75</v>
      </c>
      <c r="T35" s="70">
        <v>4</v>
      </c>
      <c r="U35" s="70">
        <v>3</v>
      </c>
      <c r="V35" s="70">
        <f t="shared" si="5"/>
        <v>75</v>
      </c>
      <c r="W35" s="70">
        <v>11</v>
      </c>
      <c r="X35" s="70">
        <v>3</v>
      </c>
      <c r="Y35" s="70">
        <f t="shared" si="6"/>
        <v>27.27272727272727</v>
      </c>
      <c r="Z35" s="70">
        <v>3</v>
      </c>
      <c r="AA35" s="70">
        <v>1</v>
      </c>
      <c r="AB35" s="70">
        <f t="shared" si="16"/>
        <v>33.333333333333329</v>
      </c>
      <c r="AC35" s="70">
        <v>0</v>
      </c>
      <c r="AD35" s="70">
        <v>0</v>
      </c>
      <c r="AE35" s="70">
        <v>0</v>
      </c>
      <c r="AF35" s="89"/>
      <c r="AG35" s="89"/>
      <c r="AH35" s="90"/>
      <c r="AI35" s="76"/>
      <c r="AJ35" s="76"/>
      <c r="AP35" s="76"/>
      <c r="AQ35" s="94"/>
      <c r="AR35" s="76"/>
    </row>
    <row r="36" spans="1:44" ht="23.1" customHeight="1" x14ac:dyDescent="0.2">
      <c r="A36" s="69" t="s">
        <v>16</v>
      </c>
      <c r="B36" s="70">
        <v>3</v>
      </c>
      <c r="C36" s="70">
        <v>3</v>
      </c>
      <c r="D36" s="70">
        <f t="shared" si="11"/>
        <v>100</v>
      </c>
      <c r="E36" s="70">
        <v>3</v>
      </c>
      <c r="F36" s="70">
        <v>2</v>
      </c>
      <c r="G36" s="70">
        <f t="shared" si="12"/>
        <v>66.666666666666657</v>
      </c>
      <c r="H36" s="70">
        <v>1</v>
      </c>
      <c r="I36" s="70">
        <v>0</v>
      </c>
      <c r="J36" s="72">
        <v>0</v>
      </c>
      <c r="K36" s="70">
        <v>3</v>
      </c>
      <c r="L36" s="70">
        <v>2</v>
      </c>
      <c r="M36" s="70">
        <f t="shared" si="2"/>
        <v>66.666666666666657</v>
      </c>
      <c r="N36" s="70">
        <v>6</v>
      </c>
      <c r="O36" s="70">
        <v>5</v>
      </c>
      <c r="P36" s="70">
        <f t="shared" si="10"/>
        <v>83.333333333333343</v>
      </c>
      <c r="Q36" s="70">
        <v>3</v>
      </c>
      <c r="R36" s="70">
        <v>3</v>
      </c>
      <c r="S36" s="70">
        <f t="shared" si="13"/>
        <v>100</v>
      </c>
      <c r="T36" s="70">
        <v>6</v>
      </c>
      <c r="U36" s="70">
        <v>6</v>
      </c>
      <c r="V36" s="70">
        <f t="shared" si="5"/>
        <v>100</v>
      </c>
      <c r="W36" s="70">
        <v>4</v>
      </c>
      <c r="X36" s="70">
        <v>3</v>
      </c>
      <c r="Y36" s="70">
        <f t="shared" si="6"/>
        <v>75</v>
      </c>
      <c r="Z36" s="70">
        <v>1</v>
      </c>
      <c r="AA36" s="70">
        <v>1</v>
      </c>
      <c r="AB36" s="70">
        <f t="shared" si="16"/>
        <v>100</v>
      </c>
      <c r="AC36" s="70">
        <v>2</v>
      </c>
      <c r="AD36" s="70">
        <v>1</v>
      </c>
      <c r="AE36" s="70">
        <f>(AD36/AC36)*100</f>
        <v>50</v>
      </c>
      <c r="AF36" s="89"/>
      <c r="AG36" s="89"/>
      <c r="AH36" s="90"/>
      <c r="AI36" s="76"/>
      <c r="AJ36" s="76"/>
      <c r="AP36" s="76"/>
      <c r="AQ36" s="94"/>
      <c r="AR36" s="76"/>
    </row>
    <row r="37" spans="1:44" ht="23.1" customHeight="1" x14ac:dyDescent="0.2">
      <c r="A37" s="83" t="s">
        <v>43</v>
      </c>
      <c r="B37" s="70">
        <v>0</v>
      </c>
      <c r="C37" s="70">
        <v>0</v>
      </c>
      <c r="D37" s="70">
        <v>0</v>
      </c>
      <c r="E37" s="70">
        <v>0</v>
      </c>
      <c r="F37" s="70">
        <v>0</v>
      </c>
      <c r="G37" s="70">
        <v>0</v>
      </c>
      <c r="H37" s="70">
        <v>0</v>
      </c>
      <c r="I37" s="70">
        <v>0</v>
      </c>
      <c r="J37" s="72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70">
        <v>0</v>
      </c>
      <c r="Q37" s="70">
        <v>0</v>
      </c>
      <c r="R37" s="70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70">
        <v>0</v>
      </c>
      <c r="Y37" s="70">
        <v>0</v>
      </c>
      <c r="Z37" s="70">
        <v>0</v>
      </c>
      <c r="AA37" s="70">
        <v>0</v>
      </c>
      <c r="AB37" s="70">
        <v>0</v>
      </c>
      <c r="AC37" s="70">
        <v>0</v>
      </c>
      <c r="AD37" s="70">
        <v>0</v>
      </c>
      <c r="AE37" s="70">
        <v>0</v>
      </c>
      <c r="AF37" s="89"/>
      <c r="AG37" s="89"/>
      <c r="AH37" s="90"/>
      <c r="AI37" s="76"/>
      <c r="AJ37" s="91"/>
      <c r="AP37" s="76"/>
      <c r="AQ37" s="94"/>
      <c r="AR37" s="76"/>
    </row>
    <row r="38" spans="1:44" ht="22.5" x14ac:dyDescent="0.2">
      <c r="A38" s="83" t="s">
        <v>42</v>
      </c>
      <c r="B38" s="70">
        <v>0</v>
      </c>
      <c r="C38" s="70">
        <v>0</v>
      </c>
      <c r="D38" s="70">
        <v>0</v>
      </c>
      <c r="E38" s="70">
        <v>0</v>
      </c>
      <c r="F38" s="70">
        <v>0</v>
      </c>
      <c r="G38" s="70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73">
        <v>0</v>
      </c>
      <c r="S38" s="73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0">
        <v>0</v>
      </c>
      <c r="AB38" s="70">
        <v>0</v>
      </c>
      <c r="AC38" s="70">
        <v>0</v>
      </c>
      <c r="AD38" s="70">
        <v>0</v>
      </c>
      <c r="AE38" s="70">
        <v>0</v>
      </c>
      <c r="AF38" s="89"/>
      <c r="AG38" s="89"/>
      <c r="AH38" s="90"/>
      <c r="AI38" s="76"/>
      <c r="AJ38" s="91"/>
      <c r="AP38" s="76"/>
      <c r="AQ38" s="94"/>
      <c r="AR38" s="76"/>
    </row>
    <row r="39" spans="1:44" ht="22.5" x14ac:dyDescent="0.2">
      <c r="A39" s="69" t="s">
        <v>38</v>
      </c>
      <c r="B39" s="70" t="s">
        <v>37</v>
      </c>
      <c r="C39" s="70" t="s">
        <v>37</v>
      </c>
      <c r="D39" s="70" t="s">
        <v>37</v>
      </c>
      <c r="E39" s="70" t="s">
        <v>37</v>
      </c>
      <c r="F39" s="70" t="s">
        <v>37</v>
      </c>
      <c r="G39" s="70" t="s">
        <v>37</v>
      </c>
      <c r="H39" s="70" t="s">
        <v>37</v>
      </c>
      <c r="I39" s="70" t="s">
        <v>37</v>
      </c>
      <c r="J39" s="73" t="s">
        <v>37</v>
      </c>
      <c r="K39" s="73" t="s">
        <v>37</v>
      </c>
      <c r="L39" s="73" t="s">
        <v>37</v>
      </c>
      <c r="M39" s="73" t="s">
        <v>37</v>
      </c>
      <c r="N39" s="73" t="s">
        <v>37</v>
      </c>
      <c r="O39" s="73" t="s">
        <v>37</v>
      </c>
      <c r="P39" s="73" t="s">
        <v>37</v>
      </c>
      <c r="Q39" s="73" t="s">
        <v>37</v>
      </c>
      <c r="R39" s="73" t="s">
        <v>37</v>
      </c>
      <c r="S39" s="73" t="s">
        <v>37</v>
      </c>
      <c r="T39" s="73" t="s">
        <v>37</v>
      </c>
      <c r="U39" s="73" t="s">
        <v>37</v>
      </c>
      <c r="V39" s="73" t="s">
        <v>37</v>
      </c>
      <c r="W39" s="73" t="s">
        <v>37</v>
      </c>
      <c r="X39" s="73" t="s">
        <v>37</v>
      </c>
      <c r="Y39" s="73" t="s">
        <v>37</v>
      </c>
      <c r="Z39" s="73" t="s">
        <v>37</v>
      </c>
      <c r="AA39" s="70" t="s">
        <v>37</v>
      </c>
      <c r="AB39" s="70" t="s">
        <v>37</v>
      </c>
      <c r="AC39" s="70" t="s">
        <v>37</v>
      </c>
      <c r="AD39" s="70" t="s">
        <v>37</v>
      </c>
      <c r="AE39" s="70" t="s">
        <v>37</v>
      </c>
      <c r="AF39" s="89"/>
      <c r="AG39" s="89"/>
      <c r="AH39" s="90"/>
      <c r="AI39" s="76"/>
      <c r="AJ39" s="76"/>
      <c r="AP39" s="76"/>
      <c r="AQ39" s="76"/>
      <c r="AR39" s="76"/>
    </row>
    <row r="40" spans="1:44" x14ac:dyDescent="0.2">
      <c r="A40" s="78"/>
      <c r="B40" s="79">
        <f>SUM(B13:B39)</f>
        <v>122</v>
      </c>
      <c r="C40" s="79">
        <f>SUM(C13:C39)</f>
        <v>89</v>
      </c>
      <c r="D40" s="80">
        <f>(C40/B40)*100</f>
        <v>72.950819672131146</v>
      </c>
      <c r="E40" s="79">
        <f>SUM(E13:E39)</f>
        <v>148</v>
      </c>
      <c r="F40" s="81">
        <f>SUM(F13:F39)</f>
        <v>117.5</v>
      </c>
      <c r="G40" s="80">
        <f>(F40/E40)*100</f>
        <v>79.391891891891902</v>
      </c>
      <c r="H40" s="79">
        <f>SUM(H13:H39)</f>
        <v>303</v>
      </c>
      <c r="I40" s="81">
        <f>SUM(I13:I39)</f>
        <v>259</v>
      </c>
      <c r="J40" s="86">
        <f>(I40/H40)*100</f>
        <v>85.478547854785475</v>
      </c>
      <c r="K40" s="87">
        <f>SUM(K13:K39)</f>
        <v>139</v>
      </c>
      <c r="L40" s="88">
        <f>SUM(L13:L39)</f>
        <v>84</v>
      </c>
      <c r="M40" s="86">
        <f>(L40/K40)*100</f>
        <v>60.431654676258994</v>
      </c>
      <c r="N40" s="87">
        <f>SUM(N13:N39)</f>
        <v>154</v>
      </c>
      <c r="O40" s="88">
        <f>SUM(O13:O39)</f>
        <v>126</v>
      </c>
      <c r="P40" s="86">
        <f>(O40/N40)*100</f>
        <v>81.818181818181827</v>
      </c>
      <c r="Q40" s="87">
        <f>SUM(Q13:Q39)</f>
        <v>206</v>
      </c>
      <c r="R40" s="88">
        <f>SUM(R13:R39)</f>
        <v>140</v>
      </c>
      <c r="S40" s="86">
        <f>(R40/Q40)*100</f>
        <v>67.961165048543691</v>
      </c>
      <c r="T40" s="87">
        <f>SUM(T13:T39)</f>
        <v>164</v>
      </c>
      <c r="U40" s="88">
        <f>SUM(U13:U39)</f>
        <v>131</v>
      </c>
      <c r="V40" s="86">
        <f>(U40/T40)*100</f>
        <v>79.878048780487802</v>
      </c>
      <c r="W40" s="87">
        <f>SUM(W13:W39)</f>
        <v>260</v>
      </c>
      <c r="X40" s="88">
        <f>SUM(X13:X39)</f>
        <v>165</v>
      </c>
      <c r="Y40" s="86">
        <f>(X40/W40)*100</f>
        <v>63.46153846153846</v>
      </c>
      <c r="Z40" s="87">
        <f>SUM(Z13:Z39)</f>
        <v>54</v>
      </c>
      <c r="AA40" s="81">
        <f>SUM(AA13:AA39)</f>
        <v>37</v>
      </c>
      <c r="AB40" s="80">
        <f>(AA40/Z40)*100</f>
        <v>68.518518518518519</v>
      </c>
      <c r="AC40" s="79">
        <f>SUM(AC13:AC39)</f>
        <v>87</v>
      </c>
      <c r="AD40" s="81">
        <f>SUM(AD13:AD39)</f>
        <v>71</v>
      </c>
      <c r="AE40" s="80">
        <f>(AD40/AC40)*100</f>
        <v>81.609195402298852</v>
      </c>
      <c r="AF40" s="89"/>
      <c r="AG40" s="89"/>
      <c r="AH40" s="90"/>
      <c r="AI40" s="76"/>
      <c r="AJ40" s="76"/>
    </row>
    <row r="41" spans="1:44" x14ac:dyDescent="0.2">
      <c r="A41" s="78"/>
      <c r="B41" s="79"/>
      <c r="C41" s="79"/>
      <c r="D41" s="79"/>
      <c r="E41" s="79"/>
      <c r="F41" s="79"/>
      <c r="G41" s="79"/>
      <c r="H41" s="79"/>
      <c r="I41" s="79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79"/>
      <c r="AB41" s="79"/>
      <c r="AC41" s="79"/>
      <c r="AD41" s="79"/>
      <c r="AE41" s="79"/>
      <c r="AF41" s="93"/>
      <c r="AG41" s="93"/>
      <c r="AH41" s="90"/>
      <c r="AI41" s="76"/>
      <c r="AJ41" s="76"/>
    </row>
    <row r="42" spans="1:44" x14ac:dyDescent="0.2">
      <c r="A42" s="78"/>
      <c r="B42" s="79"/>
      <c r="C42" s="79"/>
      <c r="D42" s="79"/>
      <c r="E42" s="79"/>
      <c r="F42" s="79"/>
      <c r="G42" s="79"/>
      <c r="H42" s="79"/>
      <c r="I42" s="79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79"/>
      <c r="AB42" s="79"/>
      <c r="AC42" s="79"/>
      <c r="AD42" s="79"/>
      <c r="AE42" s="79"/>
      <c r="AF42" s="93"/>
      <c r="AG42" s="93"/>
      <c r="AH42" s="90"/>
      <c r="AI42" s="76"/>
      <c r="AJ42" s="76"/>
    </row>
    <row r="43" spans="1:44" x14ac:dyDescent="0.2">
      <c r="A43" s="78"/>
      <c r="B43" s="79"/>
      <c r="C43" s="79"/>
      <c r="D43" s="79"/>
      <c r="E43" s="79"/>
      <c r="F43" s="79"/>
      <c r="G43" s="79"/>
      <c r="H43" s="79"/>
      <c r="I43" s="79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79"/>
      <c r="AB43" s="79"/>
      <c r="AC43" s="79"/>
      <c r="AD43" s="79"/>
      <c r="AE43" s="79"/>
      <c r="AF43" s="93"/>
      <c r="AG43" s="93"/>
      <c r="AH43" s="90"/>
      <c r="AI43" s="76"/>
      <c r="AJ43" s="76"/>
    </row>
    <row r="44" spans="1:44" x14ac:dyDescent="0.2">
      <c r="A44" s="78"/>
      <c r="B44" s="79"/>
      <c r="C44" s="79"/>
      <c r="D44" s="79"/>
      <c r="E44" s="79"/>
      <c r="F44" s="79"/>
      <c r="G44" s="79"/>
      <c r="H44" s="79"/>
      <c r="I44" s="79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79"/>
      <c r="AB44" s="79"/>
      <c r="AC44" s="79"/>
      <c r="AD44" s="79"/>
      <c r="AE44" s="79"/>
      <c r="AF44" s="93"/>
      <c r="AG44" s="93"/>
      <c r="AH44" s="90"/>
      <c r="AI44" s="76"/>
      <c r="AJ44" s="76"/>
    </row>
    <row r="45" spans="1:44" x14ac:dyDescent="0.2">
      <c r="A45" s="78"/>
      <c r="B45" s="79"/>
      <c r="C45" s="79"/>
      <c r="D45" s="79"/>
      <c r="E45" s="79"/>
      <c r="F45" s="79"/>
      <c r="G45" s="79"/>
      <c r="H45" s="79"/>
      <c r="I45" s="79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79"/>
      <c r="AB45" s="79"/>
      <c r="AC45" s="79"/>
      <c r="AD45" s="79"/>
      <c r="AE45" s="79"/>
      <c r="AF45" s="93"/>
      <c r="AG45" s="93"/>
      <c r="AH45" s="90"/>
      <c r="AI45" s="76"/>
      <c r="AJ45" s="76"/>
    </row>
    <row r="46" spans="1:44" x14ac:dyDescent="0.2">
      <c r="A46" s="78"/>
      <c r="B46" s="79"/>
      <c r="C46" s="79"/>
      <c r="D46" s="79"/>
      <c r="E46" s="79"/>
      <c r="F46" s="79"/>
      <c r="G46" s="79"/>
      <c r="H46" s="79"/>
      <c r="I46" s="79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79"/>
      <c r="AB46" s="79"/>
      <c r="AC46" s="79"/>
      <c r="AD46" s="79"/>
      <c r="AE46" s="79"/>
      <c r="AF46" s="93"/>
      <c r="AG46" s="93"/>
      <c r="AH46" s="90"/>
      <c r="AI46" s="76"/>
      <c r="AJ46" s="76"/>
    </row>
    <row r="47" spans="1:44" x14ac:dyDescent="0.2">
      <c r="A47" s="78"/>
      <c r="B47" s="79"/>
      <c r="C47" s="79"/>
      <c r="D47" s="79"/>
      <c r="E47" s="79"/>
      <c r="F47" s="79"/>
      <c r="G47" s="79"/>
      <c r="H47" s="79"/>
      <c r="I47" s="79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79"/>
      <c r="AB47" s="79"/>
      <c r="AC47" s="79"/>
      <c r="AD47" s="79"/>
      <c r="AE47" s="79"/>
      <c r="AF47" s="93"/>
      <c r="AG47" s="93"/>
      <c r="AH47" s="90"/>
      <c r="AI47" s="76"/>
      <c r="AJ47" s="76"/>
    </row>
    <row r="48" spans="1:44" x14ac:dyDescent="0.2">
      <c r="A48" s="78"/>
      <c r="B48" s="79"/>
      <c r="C48" s="79"/>
      <c r="D48" s="79"/>
      <c r="E48" s="79"/>
      <c r="F48" s="79"/>
      <c r="G48" s="79"/>
      <c r="H48" s="79"/>
      <c r="I48" s="79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79"/>
      <c r="AB48" s="79"/>
      <c r="AC48" s="79"/>
      <c r="AD48" s="79"/>
      <c r="AE48" s="79"/>
      <c r="AF48" s="93"/>
      <c r="AG48" s="93"/>
      <c r="AH48" s="90"/>
      <c r="AI48" s="76"/>
      <c r="AJ48" s="76"/>
    </row>
    <row r="49" spans="1:43" x14ac:dyDescent="0.2">
      <c r="A49" s="78"/>
      <c r="B49" s="79"/>
      <c r="C49" s="79"/>
      <c r="D49" s="79"/>
      <c r="E49" s="79"/>
      <c r="F49" s="79"/>
      <c r="G49" s="79"/>
      <c r="H49" s="79"/>
      <c r="I49" s="79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79"/>
      <c r="AB49" s="79"/>
      <c r="AC49" s="79"/>
      <c r="AD49" s="79"/>
      <c r="AE49" s="79"/>
      <c r="AF49" s="93"/>
      <c r="AG49" s="93"/>
      <c r="AH49" s="90"/>
      <c r="AI49" s="76"/>
      <c r="AJ49" s="76"/>
    </row>
    <row r="50" spans="1:43" x14ac:dyDescent="0.2">
      <c r="A50" s="78"/>
      <c r="B50" s="79"/>
      <c r="C50" s="79"/>
      <c r="D50" s="79"/>
      <c r="E50" s="79"/>
      <c r="F50" s="79"/>
      <c r="G50" s="79"/>
      <c r="H50" s="79"/>
      <c r="I50" s="79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79"/>
      <c r="AB50" s="79"/>
      <c r="AC50" s="79"/>
      <c r="AD50" s="79"/>
      <c r="AE50" s="79"/>
      <c r="AF50" s="93"/>
      <c r="AG50" s="93"/>
      <c r="AH50" s="90"/>
      <c r="AI50" s="76"/>
      <c r="AJ50" s="76"/>
    </row>
    <row r="51" spans="1:43" x14ac:dyDescent="0.2">
      <c r="A51" s="78"/>
      <c r="B51" s="79"/>
      <c r="C51" s="79"/>
      <c r="D51" s="79"/>
      <c r="E51" s="79"/>
      <c r="F51" s="79"/>
      <c r="G51" s="79"/>
      <c r="H51" s="79"/>
      <c r="I51" s="79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79"/>
      <c r="AB51" s="79"/>
      <c r="AC51" s="79"/>
      <c r="AD51" s="79"/>
      <c r="AE51" s="79"/>
      <c r="AF51" s="93"/>
      <c r="AG51" s="93"/>
      <c r="AH51" s="90"/>
      <c r="AI51" s="76"/>
      <c r="AJ51" s="76"/>
    </row>
    <row r="52" spans="1:43" x14ac:dyDescent="0.2">
      <c r="A52" s="78"/>
      <c r="B52" s="79"/>
      <c r="C52" s="79"/>
      <c r="D52" s="79"/>
      <c r="E52" s="79"/>
      <c r="F52" s="79"/>
      <c r="G52" s="79"/>
      <c r="H52" s="79"/>
      <c r="I52" s="79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79"/>
      <c r="AB52" s="79"/>
      <c r="AC52" s="79"/>
      <c r="AD52" s="79"/>
      <c r="AE52" s="79"/>
      <c r="AF52" s="93"/>
      <c r="AG52" s="93"/>
      <c r="AH52" s="90"/>
      <c r="AI52" s="76"/>
      <c r="AJ52" s="76"/>
    </row>
    <row r="53" spans="1:43" x14ac:dyDescent="0.2">
      <c r="A53" s="78"/>
      <c r="B53" s="79"/>
      <c r="C53" s="79"/>
      <c r="D53" s="79"/>
      <c r="E53" s="79"/>
      <c r="F53" s="79"/>
      <c r="G53" s="79"/>
      <c r="H53" s="79"/>
      <c r="I53" s="79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79"/>
      <c r="AB53" s="79"/>
      <c r="AC53" s="79"/>
      <c r="AD53" s="79"/>
      <c r="AE53" s="79"/>
      <c r="AF53" s="93"/>
      <c r="AG53" s="93"/>
      <c r="AH53" s="90"/>
      <c r="AI53" s="76"/>
      <c r="AJ53" s="76"/>
    </row>
    <row r="54" spans="1:43" x14ac:dyDescent="0.2">
      <c r="A54" s="78"/>
      <c r="B54" s="79"/>
      <c r="C54" s="79"/>
      <c r="D54" s="79"/>
      <c r="E54" s="79"/>
      <c r="F54" s="79"/>
      <c r="G54" s="79"/>
      <c r="H54" s="79"/>
      <c r="I54" s="79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79"/>
      <c r="AB54" s="79"/>
      <c r="AC54" s="79"/>
      <c r="AD54" s="79"/>
      <c r="AE54" s="79"/>
      <c r="AF54" s="93"/>
      <c r="AG54" s="93"/>
      <c r="AH54" s="90"/>
      <c r="AI54" s="76"/>
      <c r="AJ54" s="76"/>
    </row>
    <row r="55" spans="1:43" ht="17.25" customHeight="1" x14ac:dyDescent="0.2">
      <c r="A55" s="179" t="s">
        <v>121</v>
      </c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79"/>
      <c r="AJ55" s="179"/>
      <c r="AK55" s="179"/>
    </row>
    <row r="56" spans="1:43" ht="12.75" customHeight="1" x14ac:dyDescent="0.2">
      <c r="A56" s="180"/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0"/>
      <c r="U56" s="180"/>
      <c r="V56" s="180"/>
      <c r="W56" s="180"/>
      <c r="X56" s="180"/>
      <c r="Y56" s="180"/>
      <c r="Z56" s="180"/>
      <c r="AA56" s="180"/>
      <c r="AB56" s="180"/>
      <c r="AC56" s="180"/>
      <c r="AD56" s="180"/>
      <c r="AE56" s="180"/>
      <c r="AF56" s="180"/>
      <c r="AG56" s="180"/>
      <c r="AH56" s="180"/>
      <c r="AI56" s="180"/>
      <c r="AJ56" s="180"/>
      <c r="AK56" s="180"/>
    </row>
    <row r="57" spans="1:43" ht="68.25" customHeight="1" x14ac:dyDescent="0.2">
      <c r="A57" s="174" t="s">
        <v>0</v>
      </c>
      <c r="B57" s="175" t="s">
        <v>122</v>
      </c>
      <c r="C57" s="175"/>
      <c r="D57" s="175"/>
      <c r="E57" s="175" t="s">
        <v>123</v>
      </c>
      <c r="F57" s="175"/>
      <c r="G57" s="175"/>
      <c r="H57" s="175" t="s">
        <v>124</v>
      </c>
      <c r="I57" s="175"/>
      <c r="J57" s="175"/>
      <c r="K57" s="175" t="s">
        <v>125</v>
      </c>
      <c r="L57" s="175"/>
      <c r="M57" s="175"/>
      <c r="N57" s="175" t="s">
        <v>126</v>
      </c>
      <c r="O57" s="175"/>
      <c r="P57" s="175"/>
      <c r="Q57" s="175" t="s">
        <v>127</v>
      </c>
      <c r="R57" s="175"/>
      <c r="S57" s="175"/>
      <c r="T57" s="175" t="s">
        <v>128</v>
      </c>
      <c r="U57" s="175"/>
      <c r="V57" s="175"/>
      <c r="W57" s="175" t="s">
        <v>129</v>
      </c>
      <c r="X57" s="175"/>
      <c r="Y57" s="175"/>
      <c r="Z57" s="175" t="s">
        <v>130</v>
      </c>
      <c r="AA57" s="175"/>
      <c r="AB57" s="175"/>
      <c r="AC57" s="175" t="s">
        <v>131</v>
      </c>
      <c r="AD57" s="175"/>
      <c r="AE57" s="175"/>
      <c r="AF57" s="175" t="s">
        <v>132</v>
      </c>
      <c r="AG57" s="175"/>
      <c r="AH57" s="175"/>
      <c r="AI57" s="175" t="s">
        <v>133</v>
      </c>
      <c r="AJ57" s="175"/>
      <c r="AK57" s="175"/>
      <c r="AM57" s="76"/>
      <c r="AN57" s="76"/>
      <c r="AO57" s="76"/>
      <c r="AP57" s="76"/>
      <c r="AQ57" s="76"/>
    </row>
    <row r="58" spans="1:43" ht="15" customHeight="1" x14ac:dyDescent="0.2">
      <c r="A58" s="174"/>
      <c r="B58" s="67" t="s">
        <v>134</v>
      </c>
      <c r="C58" s="82" t="s">
        <v>119</v>
      </c>
      <c r="D58" s="82" t="s">
        <v>120</v>
      </c>
      <c r="E58" s="67" t="s">
        <v>134</v>
      </c>
      <c r="F58" s="82" t="s">
        <v>119</v>
      </c>
      <c r="G58" s="82" t="s">
        <v>120</v>
      </c>
      <c r="H58" s="67" t="s">
        <v>134</v>
      </c>
      <c r="I58" s="82" t="s">
        <v>119</v>
      </c>
      <c r="J58" s="82" t="s">
        <v>120</v>
      </c>
      <c r="K58" s="67" t="s">
        <v>134</v>
      </c>
      <c r="L58" s="82" t="s">
        <v>119</v>
      </c>
      <c r="M58" s="82" t="s">
        <v>120</v>
      </c>
      <c r="N58" s="67" t="s">
        <v>134</v>
      </c>
      <c r="O58" s="82" t="s">
        <v>119</v>
      </c>
      <c r="P58" s="82" t="s">
        <v>120</v>
      </c>
      <c r="Q58" s="67" t="s">
        <v>134</v>
      </c>
      <c r="R58" s="82" t="s">
        <v>119</v>
      </c>
      <c r="S58" s="82" t="s">
        <v>120</v>
      </c>
      <c r="T58" s="67" t="s">
        <v>134</v>
      </c>
      <c r="U58" s="82" t="s">
        <v>119</v>
      </c>
      <c r="V58" s="82" t="s">
        <v>120</v>
      </c>
      <c r="W58" s="67" t="s">
        <v>134</v>
      </c>
      <c r="X58" s="82" t="s">
        <v>119</v>
      </c>
      <c r="Y58" s="82" t="s">
        <v>120</v>
      </c>
      <c r="Z58" s="67" t="s">
        <v>134</v>
      </c>
      <c r="AA58" s="82" t="s">
        <v>119</v>
      </c>
      <c r="AB58" s="82" t="s">
        <v>120</v>
      </c>
      <c r="AC58" s="67" t="s">
        <v>134</v>
      </c>
      <c r="AD58" s="82" t="s">
        <v>119</v>
      </c>
      <c r="AE58" s="82" t="s">
        <v>120</v>
      </c>
      <c r="AF58" s="67" t="s">
        <v>134</v>
      </c>
      <c r="AG58" s="82" t="s">
        <v>119</v>
      </c>
      <c r="AH58" s="82" t="s">
        <v>120</v>
      </c>
      <c r="AI58" s="67" t="s">
        <v>134</v>
      </c>
      <c r="AJ58" s="82" t="s">
        <v>119</v>
      </c>
      <c r="AK58" s="82" t="s">
        <v>120</v>
      </c>
      <c r="AM58" s="76"/>
      <c r="AN58" s="76"/>
      <c r="AO58" s="76"/>
      <c r="AP58" s="76"/>
      <c r="AQ58" s="76"/>
    </row>
    <row r="59" spans="1:43" x14ac:dyDescent="0.2">
      <c r="A59" s="69" t="s">
        <v>10</v>
      </c>
      <c r="B59" s="70">
        <v>2</v>
      </c>
      <c r="C59" s="70">
        <v>2</v>
      </c>
      <c r="D59" s="70">
        <f t="shared" ref="D59:D75" si="17">(C59/B59)*100</f>
        <v>100</v>
      </c>
      <c r="E59" s="70">
        <v>3</v>
      </c>
      <c r="F59" s="70">
        <v>2</v>
      </c>
      <c r="G59" s="70">
        <f t="shared" ref="G59:G75" si="18">(F59/E59)*100</f>
        <v>66.666666666666657</v>
      </c>
      <c r="H59" s="70">
        <v>0</v>
      </c>
      <c r="I59" s="70">
        <v>0</v>
      </c>
      <c r="J59" s="70">
        <v>0</v>
      </c>
      <c r="K59" s="70">
        <v>0</v>
      </c>
      <c r="L59" s="70">
        <v>0</v>
      </c>
      <c r="M59" s="70">
        <v>0</v>
      </c>
      <c r="N59" s="73">
        <v>1</v>
      </c>
      <c r="O59" s="73">
        <v>1</v>
      </c>
      <c r="P59" s="70">
        <f t="shared" ref="P59:P79" si="19">(O59/N59)*100</f>
        <v>100</v>
      </c>
      <c r="Q59" s="70">
        <v>3</v>
      </c>
      <c r="R59" s="70">
        <v>1</v>
      </c>
      <c r="S59" s="70">
        <f t="shared" ref="S59:S75" si="20">(R59/Q59)*100</f>
        <v>33.333333333333329</v>
      </c>
      <c r="T59" s="70">
        <v>1</v>
      </c>
      <c r="U59" s="70">
        <v>1</v>
      </c>
      <c r="V59" s="70">
        <f t="shared" ref="V59:V75" si="21">(U59/T59)*100</f>
        <v>100</v>
      </c>
      <c r="W59" s="70">
        <v>1</v>
      </c>
      <c r="X59" s="70">
        <v>1</v>
      </c>
      <c r="Y59" s="70">
        <f t="shared" ref="Y59:Y72" si="22">(X59/W59)*100</f>
        <v>100</v>
      </c>
      <c r="Z59" s="70">
        <v>1</v>
      </c>
      <c r="AA59" s="70">
        <v>0</v>
      </c>
      <c r="AB59" s="70">
        <v>0</v>
      </c>
      <c r="AC59" s="70">
        <v>0</v>
      </c>
      <c r="AD59" s="70">
        <v>0</v>
      </c>
      <c r="AE59" s="70">
        <v>0</v>
      </c>
      <c r="AF59" s="70">
        <v>0</v>
      </c>
      <c r="AG59" s="70">
        <v>0</v>
      </c>
      <c r="AH59" s="70">
        <v>0</v>
      </c>
      <c r="AI59" s="70">
        <v>1</v>
      </c>
      <c r="AJ59" s="70">
        <v>0</v>
      </c>
      <c r="AK59" s="70">
        <v>0</v>
      </c>
      <c r="AL59" s="71"/>
      <c r="AM59" s="89"/>
      <c r="AN59" s="84"/>
      <c r="AO59" s="76"/>
      <c r="AP59" s="76"/>
      <c r="AQ59" s="94"/>
    </row>
    <row r="60" spans="1:43" ht="23.1" customHeight="1" x14ac:dyDescent="0.2">
      <c r="A60" s="69" t="s">
        <v>63</v>
      </c>
      <c r="B60" s="70">
        <v>6</v>
      </c>
      <c r="C60" s="70">
        <v>5</v>
      </c>
      <c r="D60" s="70">
        <f t="shared" si="17"/>
        <v>83.333333333333343</v>
      </c>
      <c r="E60" s="70">
        <v>6</v>
      </c>
      <c r="F60" s="70">
        <v>5</v>
      </c>
      <c r="G60" s="70">
        <f t="shared" si="18"/>
        <v>83.333333333333343</v>
      </c>
      <c r="H60" s="70">
        <v>0</v>
      </c>
      <c r="I60" s="70">
        <v>0</v>
      </c>
      <c r="J60" s="70">
        <v>0</v>
      </c>
      <c r="K60" s="70">
        <v>0</v>
      </c>
      <c r="L60" s="70">
        <v>0</v>
      </c>
      <c r="M60" s="70">
        <v>0</v>
      </c>
      <c r="N60" s="70">
        <v>7</v>
      </c>
      <c r="O60" s="70">
        <v>6</v>
      </c>
      <c r="P60" s="70">
        <f t="shared" si="19"/>
        <v>85.714285714285708</v>
      </c>
      <c r="Q60" s="70">
        <v>13</v>
      </c>
      <c r="R60" s="70">
        <v>9</v>
      </c>
      <c r="S60" s="70">
        <f t="shared" si="20"/>
        <v>69.230769230769226</v>
      </c>
      <c r="T60" s="70">
        <v>2</v>
      </c>
      <c r="U60" s="70">
        <v>2</v>
      </c>
      <c r="V60" s="70">
        <f t="shared" si="21"/>
        <v>100</v>
      </c>
      <c r="W60" s="70">
        <v>8</v>
      </c>
      <c r="X60" s="70">
        <v>6</v>
      </c>
      <c r="Y60" s="70">
        <f t="shared" si="22"/>
        <v>75</v>
      </c>
      <c r="Z60" s="70">
        <v>1</v>
      </c>
      <c r="AA60" s="70">
        <v>1</v>
      </c>
      <c r="AB60" s="70">
        <f t="shared" ref="AB60:AB64" si="23">(AA60/Z60)*100</f>
        <v>100</v>
      </c>
      <c r="AC60" s="70">
        <v>0</v>
      </c>
      <c r="AD60" s="70">
        <v>0</v>
      </c>
      <c r="AE60" s="70">
        <v>0</v>
      </c>
      <c r="AF60" s="70">
        <v>1</v>
      </c>
      <c r="AG60" s="70">
        <v>1</v>
      </c>
      <c r="AH60" s="70">
        <f t="shared" ref="AH60:AH64" si="24">(AG60/AF60)*100</f>
        <v>100</v>
      </c>
      <c r="AI60" s="70">
        <v>0</v>
      </c>
      <c r="AJ60" s="70">
        <v>0</v>
      </c>
      <c r="AK60" s="70">
        <v>0</v>
      </c>
      <c r="AL60" s="71"/>
      <c r="AM60" s="89"/>
      <c r="AN60" s="84"/>
      <c r="AO60" s="76"/>
      <c r="AP60" s="76"/>
      <c r="AQ60" s="94"/>
    </row>
    <row r="61" spans="1:43" ht="23.1" customHeight="1" x14ac:dyDescent="0.2">
      <c r="A61" s="69" t="s">
        <v>62</v>
      </c>
      <c r="B61" s="70">
        <v>20</v>
      </c>
      <c r="C61" s="70">
        <v>12</v>
      </c>
      <c r="D61" s="70">
        <f t="shared" si="17"/>
        <v>60</v>
      </c>
      <c r="E61" s="70">
        <v>27</v>
      </c>
      <c r="F61" s="70">
        <v>19</v>
      </c>
      <c r="G61" s="70">
        <f t="shared" si="18"/>
        <v>70.370370370370367</v>
      </c>
      <c r="H61" s="70">
        <v>1</v>
      </c>
      <c r="I61" s="70">
        <v>1</v>
      </c>
      <c r="J61" s="70">
        <f t="shared" ref="J61" si="25">(I61/H61)*100</f>
        <v>100</v>
      </c>
      <c r="K61" s="70">
        <v>8</v>
      </c>
      <c r="L61" s="70">
        <v>2</v>
      </c>
      <c r="M61" s="70">
        <f t="shared" ref="M61:M65" si="26">(L61/K61)*100</f>
        <v>25</v>
      </c>
      <c r="N61" s="70">
        <v>7</v>
      </c>
      <c r="O61" s="70">
        <v>5</v>
      </c>
      <c r="P61" s="70">
        <f t="shared" si="19"/>
        <v>71.428571428571431</v>
      </c>
      <c r="Q61" s="70">
        <v>28</v>
      </c>
      <c r="R61" s="70">
        <v>21</v>
      </c>
      <c r="S61" s="70">
        <f t="shared" si="20"/>
        <v>75</v>
      </c>
      <c r="T61" s="70">
        <v>14</v>
      </c>
      <c r="U61" s="70">
        <v>8</v>
      </c>
      <c r="V61" s="70">
        <f t="shared" si="21"/>
        <v>57.142857142857139</v>
      </c>
      <c r="W61" s="70">
        <v>9</v>
      </c>
      <c r="X61" s="70">
        <v>5</v>
      </c>
      <c r="Y61" s="70">
        <f t="shared" si="22"/>
        <v>55.555555555555557</v>
      </c>
      <c r="Z61" s="70">
        <v>7</v>
      </c>
      <c r="AA61" s="70">
        <v>2</v>
      </c>
      <c r="AB61" s="70">
        <f t="shared" si="23"/>
        <v>28.571428571428569</v>
      </c>
      <c r="AC61" s="70">
        <v>6</v>
      </c>
      <c r="AD61" s="70">
        <v>4</v>
      </c>
      <c r="AE61" s="70">
        <f t="shared" ref="AE61:AE64" si="27">(AD61/AC61)*100</f>
        <v>66.666666666666657</v>
      </c>
      <c r="AF61" s="70">
        <v>4</v>
      </c>
      <c r="AG61" s="70">
        <v>3</v>
      </c>
      <c r="AH61" s="70">
        <f t="shared" si="24"/>
        <v>75</v>
      </c>
      <c r="AI61" s="70">
        <v>3</v>
      </c>
      <c r="AJ61" s="70">
        <v>3</v>
      </c>
      <c r="AK61" s="70">
        <f t="shared" ref="AK61:AK64" si="28">(AJ61/AI61)*100</f>
        <v>100</v>
      </c>
      <c r="AL61" s="71"/>
      <c r="AM61" s="89"/>
      <c r="AN61" s="84"/>
      <c r="AO61" s="76"/>
      <c r="AP61" s="76"/>
      <c r="AQ61" s="94"/>
    </row>
    <row r="62" spans="1:43" ht="23.1" customHeight="1" x14ac:dyDescent="0.2">
      <c r="A62" s="69" t="s">
        <v>61</v>
      </c>
      <c r="B62" s="70">
        <v>25</v>
      </c>
      <c r="C62" s="70">
        <v>19</v>
      </c>
      <c r="D62" s="70">
        <f t="shared" si="17"/>
        <v>76</v>
      </c>
      <c r="E62" s="70">
        <v>27</v>
      </c>
      <c r="F62" s="70">
        <v>23</v>
      </c>
      <c r="G62" s="70">
        <f t="shared" si="18"/>
        <v>85.18518518518519</v>
      </c>
      <c r="H62" s="70">
        <v>0</v>
      </c>
      <c r="I62" s="70">
        <v>0</v>
      </c>
      <c r="J62" s="70">
        <v>0</v>
      </c>
      <c r="K62" s="70">
        <v>6</v>
      </c>
      <c r="L62" s="70">
        <v>5</v>
      </c>
      <c r="M62" s="70">
        <f t="shared" si="26"/>
        <v>83.333333333333343</v>
      </c>
      <c r="N62" s="70">
        <v>13</v>
      </c>
      <c r="O62" s="70">
        <v>11</v>
      </c>
      <c r="P62" s="70">
        <f t="shared" si="19"/>
        <v>84.615384615384613</v>
      </c>
      <c r="Q62" s="70">
        <v>31</v>
      </c>
      <c r="R62" s="70">
        <v>25</v>
      </c>
      <c r="S62" s="70">
        <f t="shared" si="20"/>
        <v>80.645161290322577</v>
      </c>
      <c r="T62" s="70">
        <v>13</v>
      </c>
      <c r="U62" s="70">
        <v>11</v>
      </c>
      <c r="V62" s="70">
        <f t="shared" si="21"/>
        <v>84.615384615384613</v>
      </c>
      <c r="W62" s="70">
        <v>8</v>
      </c>
      <c r="X62" s="70">
        <v>6</v>
      </c>
      <c r="Y62" s="70">
        <f t="shared" si="22"/>
        <v>75</v>
      </c>
      <c r="Z62" s="70">
        <v>5</v>
      </c>
      <c r="AA62" s="70">
        <v>5</v>
      </c>
      <c r="AB62" s="70">
        <f t="shared" si="23"/>
        <v>100</v>
      </c>
      <c r="AC62" s="70">
        <v>7</v>
      </c>
      <c r="AD62" s="70">
        <v>7</v>
      </c>
      <c r="AE62" s="70">
        <f t="shared" si="27"/>
        <v>100</v>
      </c>
      <c r="AF62" s="70">
        <v>2</v>
      </c>
      <c r="AG62" s="70">
        <v>2</v>
      </c>
      <c r="AH62" s="70">
        <f t="shared" si="24"/>
        <v>100</v>
      </c>
      <c r="AI62" s="70">
        <v>12</v>
      </c>
      <c r="AJ62" s="70">
        <v>12</v>
      </c>
      <c r="AK62" s="70">
        <f t="shared" si="28"/>
        <v>100</v>
      </c>
      <c r="AL62" s="71"/>
      <c r="AM62" s="89"/>
      <c r="AN62" s="84"/>
      <c r="AO62" s="76"/>
      <c r="AP62" s="76"/>
      <c r="AQ62" s="94"/>
    </row>
    <row r="63" spans="1:43" ht="23.1" customHeight="1" x14ac:dyDescent="0.2">
      <c r="A63" s="69" t="s">
        <v>60</v>
      </c>
      <c r="B63" s="70">
        <v>26</v>
      </c>
      <c r="C63" s="70">
        <v>20</v>
      </c>
      <c r="D63" s="70">
        <f t="shared" si="17"/>
        <v>76.923076923076934</v>
      </c>
      <c r="E63" s="70">
        <v>19</v>
      </c>
      <c r="F63" s="70">
        <v>19</v>
      </c>
      <c r="G63" s="70">
        <f t="shared" si="18"/>
        <v>100</v>
      </c>
      <c r="H63" s="70">
        <v>2</v>
      </c>
      <c r="I63" s="70">
        <v>2</v>
      </c>
      <c r="J63" s="70">
        <f t="shared" ref="J63:J64" si="29">(I63/H63)*100</f>
        <v>100</v>
      </c>
      <c r="K63" s="70">
        <v>9</v>
      </c>
      <c r="L63" s="70">
        <v>6</v>
      </c>
      <c r="M63" s="70">
        <f t="shared" si="26"/>
        <v>66.666666666666657</v>
      </c>
      <c r="N63" s="70">
        <v>15</v>
      </c>
      <c r="O63" s="70">
        <v>15</v>
      </c>
      <c r="P63" s="70">
        <f t="shared" si="19"/>
        <v>100</v>
      </c>
      <c r="Q63" s="70">
        <v>35</v>
      </c>
      <c r="R63" s="70">
        <v>29</v>
      </c>
      <c r="S63" s="70">
        <f t="shared" si="20"/>
        <v>82.857142857142861</v>
      </c>
      <c r="T63" s="70">
        <v>18</v>
      </c>
      <c r="U63" s="70">
        <v>17</v>
      </c>
      <c r="V63" s="70">
        <f t="shared" si="21"/>
        <v>94.444444444444443</v>
      </c>
      <c r="W63" s="70">
        <v>14</v>
      </c>
      <c r="X63" s="70">
        <v>12</v>
      </c>
      <c r="Y63" s="70">
        <f t="shared" si="22"/>
        <v>85.714285714285708</v>
      </c>
      <c r="Z63" s="70">
        <v>16</v>
      </c>
      <c r="AA63" s="70">
        <v>15</v>
      </c>
      <c r="AB63" s="70">
        <f t="shared" si="23"/>
        <v>93.75</v>
      </c>
      <c r="AC63" s="70">
        <v>9</v>
      </c>
      <c r="AD63" s="70">
        <v>7</v>
      </c>
      <c r="AE63" s="70">
        <f t="shared" si="27"/>
        <v>77.777777777777786</v>
      </c>
      <c r="AF63" s="70">
        <v>7</v>
      </c>
      <c r="AG63" s="70">
        <v>5</v>
      </c>
      <c r="AH63" s="70">
        <f t="shared" si="24"/>
        <v>71.428571428571431</v>
      </c>
      <c r="AI63" s="70">
        <v>8</v>
      </c>
      <c r="AJ63" s="70">
        <v>8</v>
      </c>
      <c r="AK63" s="70">
        <f t="shared" si="28"/>
        <v>100</v>
      </c>
      <c r="AL63" s="71"/>
      <c r="AM63" s="89"/>
      <c r="AN63" s="84"/>
      <c r="AO63" s="76"/>
      <c r="AP63" s="76"/>
      <c r="AQ63" s="94"/>
    </row>
    <row r="64" spans="1:43" ht="23.1" customHeight="1" x14ac:dyDescent="0.2">
      <c r="A64" s="69" t="s">
        <v>59</v>
      </c>
      <c r="B64" s="70">
        <v>5</v>
      </c>
      <c r="C64" s="70">
        <v>3</v>
      </c>
      <c r="D64" s="70">
        <f t="shared" si="17"/>
        <v>60</v>
      </c>
      <c r="E64" s="70">
        <v>7</v>
      </c>
      <c r="F64" s="70">
        <v>4</v>
      </c>
      <c r="G64" s="70">
        <f t="shared" si="18"/>
        <v>57.142857142857139</v>
      </c>
      <c r="H64" s="70">
        <v>3</v>
      </c>
      <c r="I64" s="70">
        <v>3</v>
      </c>
      <c r="J64" s="70">
        <f t="shared" si="29"/>
        <v>100</v>
      </c>
      <c r="K64" s="70">
        <v>6</v>
      </c>
      <c r="L64" s="70">
        <v>6</v>
      </c>
      <c r="M64" s="70">
        <f t="shared" si="26"/>
        <v>100</v>
      </c>
      <c r="N64" s="70">
        <v>4</v>
      </c>
      <c r="O64" s="70">
        <v>3</v>
      </c>
      <c r="P64" s="70">
        <f t="shared" si="19"/>
        <v>75</v>
      </c>
      <c r="Q64" s="70">
        <v>10</v>
      </c>
      <c r="R64" s="70">
        <v>7</v>
      </c>
      <c r="S64" s="70">
        <f t="shared" si="20"/>
        <v>70</v>
      </c>
      <c r="T64" s="70">
        <v>4</v>
      </c>
      <c r="U64" s="70">
        <v>4</v>
      </c>
      <c r="V64" s="70">
        <f t="shared" si="21"/>
        <v>100</v>
      </c>
      <c r="W64" s="70">
        <v>1</v>
      </c>
      <c r="X64" s="70">
        <v>1</v>
      </c>
      <c r="Y64" s="70">
        <f t="shared" si="22"/>
        <v>100</v>
      </c>
      <c r="Z64" s="70">
        <v>1</v>
      </c>
      <c r="AA64" s="70">
        <v>1</v>
      </c>
      <c r="AB64" s="70">
        <f t="shared" si="23"/>
        <v>100</v>
      </c>
      <c r="AC64" s="70">
        <v>1</v>
      </c>
      <c r="AD64" s="70">
        <v>1</v>
      </c>
      <c r="AE64" s="70">
        <f t="shared" si="27"/>
        <v>100</v>
      </c>
      <c r="AF64" s="70">
        <v>2</v>
      </c>
      <c r="AG64" s="70">
        <v>2</v>
      </c>
      <c r="AH64" s="70">
        <f t="shared" si="24"/>
        <v>100</v>
      </c>
      <c r="AI64" s="70">
        <v>2</v>
      </c>
      <c r="AJ64" s="70">
        <v>2</v>
      </c>
      <c r="AK64" s="70">
        <f t="shared" si="28"/>
        <v>100</v>
      </c>
      <c r="AL64" s="71"/>
      <c r="AM64" s="89"/>
      <c r="AN64" s="84"/>
      <c r="AO64" s="76"/>
      <c r="AP64" s="76"/>
      <c r="AQ64" s="94"/>
    </row>
    <row r="65" spans="1:44" ht="23.1" customHeight="1" x14ac:dyDescent="0.2">
      <c r="A65" s="69" t="s">
        <v>58</v>
      </c>
      <c r="B65" s="70">
        <v>4</v>
      </c>
      <c r="C65" s="70">
        <v>3</v>
      </c>
      <c r="D65" s="70">
        <f t="shared" si="17"/>
        <v>75</v>
      </c>
      <c r="E65" s="70">
        <v>4</v>
      </c>
      <c r="F65" s="70">
        <v>3</v>
      </c>
      <c r="G65" s="70">
        <f t="shared" si="18"/>
        <v>75</v>
      </c>
      <c r="H65" s="70">
        <v>0</v>
      </c>
      <c r="I65" s="70">
        <v>0</v>
      </c>
      <c r="J65" s="70">
        <v>0</v>
      </c>
      <c r="K65" s="70">
        <v>7</v>
      </c>
      <c r="L65" s="70">
        <v>5</v>
      </c>
      <c r="M65" s="70">
        <f t="shared" si="26"/>
        <v>71.428571428571431</v>
      </c>
      <c r="N65" s="70">
        <v>2</v>
      </c>
      <c r="O65" s="70">
        <v>1</v>
      </c>
      <c r="P65" s="70">
        <f t="shared" si="19"/>
        <v>50</v>
      </c>
      <c r="Q65" s="70">
        <v>4</v>
      </c>
      <c r="R65" s="70">
        <v>2</v>
      </c>
      <c r="S65" s="70">
        <f t="shared" si="20"/>
        <v>50</v>
      </c>
      <c r="T65" s="70">
        <v>3</v>
      </c>
      <c r="U65" s="70">
        <v>2</v>
      </c>
      <c r="V65" s="70">
        <f t="shared" si="21"/>
        <v>66.666666666666657</v>
      </c>
      <c r="W65" s="70">
        <v>4</v>
      </c>
      <c r="X65" s="70">
        <v>2</v>
      </c>
      <c r="Y65" s="70">
        <f t="shared" si="22"/>
        <v>50</v>
      </c>
      <c r="Z65" s="70">
        <v>0</v>
      </c>
      <c r="AA65" s="70">
        <v>0</v>
      </c>
      <c r="AB65" s="70">
        <v>0</v>
      </c>
      <c r="AC65" s="70">
        <v>0</v>
      </c>
      <c r="AD65" s="70">
        <v>0</v>
      </c>
      <c r="AE65" s="70">
        <v>0</v>
      </c>
      <c r="AF65" s="70">
        <v>0</v>
      </c>
      <c r="AG65" s="70">
        <v>0</v>
      </c>
      <c r="AH65" s="70">
        <v>0</v>
      </c>
      <c r="AI65" s="70">
        <v>0</v>
      </c>
      <c r="AJ65" s="70">
        <v>0</v>
      </c>
      <c r="AK65" s="70">
        <v>0</v>
      </c>
      <c r="AL65" s="71"/>
      <c r="AM65" s="89"/>
      <c r="AN65" s="84"/>
      <c r="AO65" s="76"/>
      <c r="AP65" s="76"/>
      <c r="AQ65" s="94"/>
    </row>
    <row r="66" spans="1:44" ht="23.1" customHeight="1" x14ac:dyDescent="0.2">
      <c r="A66" s="69" t="s">
        <v>57</v>
      </c>
      <c r="B66" s="70">
        <v>3</v>
      </c>
      <c r="C66" s="70">
        <v>3</v>
      </c>
      <c r="D66" s="70">
        <f t="shared" si="17"/>
        <v>100</v>
      </c>
      <c r="E66" s="70">
        <v>8</v>
      </c>
      <c r="F66" s="70">
        <v>7</v>
      </c>
      <c r="G66" s="70">
        <f t="shared" si="18"/>
        <v>87.5</v>
      </c>
      <c r="H66" s="70">
        <v>0</v>
      </c>
      <c r="I66" s="70">
        <v>0</v>
      </c>
      <c r="J66" s="70">
        <v>0</v>
      </c>
      <c r="K66" s="70">
        <v>0</v>
      </c>
      <c r="L66" s="70">
        <v>0</v>
      </c>
      <c r="M66" s="70">
        <v>0</v>
      </c>
      <c r="N66" s="70">
        <v>12</v>
      </c>
      <c r="O66" s="70">
        <v>9</v>
      </c>
      <c r="P66" s="70">
        <f t="shared" si="19"/>
        <v>75</v>
      </c>
      <c r="Q66" s="70">
        <v>12</v>
      </c>
      <c r="R66" s="70">
        <v>10</v>
      </c>
      <c r="S66" s="70">
        <f t="shared" si="20"/>
        <v>83.333333333333343</v>
      </c>
      <c r="T66" s="70">
        <v>5</v>
      </c>
      <c r="U66" s="70">
        <v>5</v>
      </c>
      <c r="V66" s="70">
        <f t="shared" si="21"/>
        <v>100</v>
      </c>
      <c r="W66" s="70">
        <v>7</v>
      </c>
      <c r="X66" s="70">
        <v>6</v>
      </c>
      <c r="Y66" s="70">
        <f t="shared" si="22"/>
        <v>85.714285714285708</v>
      </c>
      <c r="Z66" s="70">
        <v>4</v>
      </c>
      <c r="AA66" s="70">
        <v>4</v>
      </c>
      <c r="AB66" s="70">
        <f t="shared" ref="AB66:AB72" si="30">(AA66/Z66)*100</f>
        <v>100</v>
      </c>
      <c r="AC66" s="70">
        <v>1</v>
      </c>
      <c r="AD66" s="70">
        <v>1</v>
      </c>
      <c r="AE66" s="70">
        <f t="shared" ref="AE66" si="31">(AD66/AC66)*100</f>
        <v>100</v>
      </c>
      <c r="AF66" s="70">
        <v>0</v>
      </c>
      <c r="AG66" s="70">
        <v>0</v>
      </c>
      <c r="AH66" s="70">
        <v>0</v>
      </c>
      <c r="AI66" s="70">
        <v>8</v>
      </c>
      <c r="AJ66" s="70">
        <v>8</v>
      </c>
      <c r="AK66" s="70">
        <f t="shared" ref="AK66:AK68" si="32">(AJ66/AI66)*100</f>
        <v>100</v>
      </c>
      <c r="AL66" s="71"/>
      <c r="AM66" s="89"/>
      <c r="AN66" s="84"/>
      <c r="AO66" s="76"/>
      <c r="AP66" s="76"/>
      <c r="AQ66" s="94"/>
    </row>
    <row r="67" spans="1:44" ht="23.1" customHeight="1" x14ac:dyDescent="0.2">
      <c r="A67" s="83" t="s">
        <v>56</v>
      </c>
      <c r="B67" s="73">
        <v>23</v>
      </c>
      <c r="C67" s="73">
        <v>16</v>
      </c>
      <c r="D67" s="70">
        <f t="shared" si="17"/>
        <v>69.565217391304344</v>
      </c>
      <c r="E67" s="73">
        <v>11</v>
      </c>
      <c r="F67" s="73">
        <v>10</v>
      </c>
      <c r="G67" s="70">
        <f t="shared" si="18"/>
        <v>90.909090909090907</v>
      </c>
      <c r="H67" s="73">
        <v>10</v>
      </c>
      <c r="I67" s="73">
        <v>6</v>
      </c>
      <c r="J67" s="70">
        <f t="shared" ref="J67:J68" si="33">(I67/H67)*100</f>
        <v>60</v>
      </c>
      <c r="K67" s="73">
        <v>11</v>
      </c>
      <c r="L67" s="73">
        <v>9</v>
      </c>
      <c r="M67" s="70">
        <f t="shared" ref="M67:M69" si="34">(L67/K67)*100</f>
        <v>81.818181818181827</v>
      </c>
      <c r="N67" s="73">
        <v>19</v>
      </c>
      <c r="O67" s="73">
        <v>17</v>
      </c>
      <c r="P67" s="70">
        <f t="shared" si="19"/>
        <v>89.473684210526315</v>
      </c>
      <c r="Q67" s="73">
        <v>28</v>
      </c>
      <c r="R67" s="73">
        <v>19</v>
      </c>
      <c r="S67" s="70">
        <f t="shared" si="20"/>
        <v>67.857142857142861</v>
      </c>
      <c r="T67" s="73">
        <v>19</v>
      </c>
      <c r="U67" s="73">
        <v>15</v>
      </c>
      <c r="V67" s="70">
        <f t="shared" si="21"/>
        <v>78.94736842105263</v>
      </c>
      <c r="W67" s="73">
        <v>9</v>
      </c>
      <c r="X67" s="73">
        <v>7</v>
      </c>
      <c r="Y67" s="70">
        <f t="shared" si="22"/>
        <v>77.777777777777786</v>
      </c>
      <c r="Z67" s="73">
        <v>4</v>
      </c>
      <c r="AA67" s="73">
        <v>2</v>
      </c>
      <c r="AB67" s="70">
        <f t="shared" si="30"/>
        <v>50</v>
      </c>
      <c r="AC67" s="73">
        <v>4</v>
      </c>
      <c r="AD67" s="73">
        <v>0</v>
      </c>
      <c r="AE67" s="73">
        <v>0</v>
      </c>
      <c r="AF67" s="73">
        <v>9</v>
      </c>
      <c r="AG67" s="73">
        <v>6</v>
      </c>
      <c r="AH67" s="70">
        <f t="shared" ref="AH67:AH68" si="35">(AG67/AF67)*100</f>
        <v>66.666666666666657</v>
      </c>
      <c r="AI67" s="73">
        <v>15</v>
      </c>
      <c r="AJ67" s="73">
        <v>10</v>
      </c>
      <c r="AK67" s="70">
        <f t="shared" si="32"/>
        <v>66.666666666666657</v>
      </c>
      <c r="AL67" s="71"/>
      <c r="AM67" s="89"/>
      <c r="AN67" s="84"/>
      <c r="AO67" s="76"/>
      <c r="AP67" s="76"/>
      <c r="AQ67" s="94"/>
      <c r="AR67" s="76"/>
    </row>
    <row r="68" spans="1:44" ht="12.75" customHeight="1" x14ac:dyDescent="0.2">
      <c r="A68" s="69" t="s">
        <v>54</v>
      </c>
      <c r="B68" s="70">
        <v>13</v>
      </c>
      <c r="C68" s="70">
        <v>10</v>
      </c>
      <c r="D68" s="70">
        <f t="shared" si="17"/>
        <v>76.923076923076934</v>
      </c>
      <c r="E68" s="70">
        <v>30</v>
      </c>
      <c r="F68" s="70">
        <v>20</v>
      </c>
      <c r="G68" s="70">
        <f t="shared" si="18"/>
        <v>66.666666666666657</v>
      </c>
      <c r="H68" s="70">
        <v>13</v>
      </c>
      <c r="I68" s="70">
        <v>9</v>
      </c>
      <c r="J68" s="70">
        <f t="shared" si="33"/>
        <v>69.230769230769226</v>
      </c>
      <c r="K68" s="70">
        <v>4</v>
      </c>
      <c r="L68" s="70">
        <v>1</v>
      </c>
      <c r="M68" s="70">
        <f t="shared" si="34"/>
        <v>25</v>
      </c>
      <c r="N68" s="70">
        <v>15</v>
      </c>
      <c r="O68" s="70">
        <v>10</v>
      </c>
      <c r="P68" s="70">
        <f t="shared" si="19"/>
        <v>66.666666666666657</v>
      </c>
      <c r="Q68" s="70">
        <v>28</v>
      </c>
      <c r="R68" s="70">
        <v>18</v>
      </c>
      <c r="S68" s="70">
        <f t="shared" si="20"/>
        <v>64.285714285714292</v>
      </c>
      <c r="T68" s="70">
        <v>6</v>
      </c>
      <c r="U68" s="70">
        <v>4</v>
      </c>
      <c r="V68" s="70">
        <f t="shared" si="21"/>
        <v>66.666666666666657</v>
      </c>
      <c r="W68" s="70">
        <v>15</v>
      </c>
      <c r="X68" s="70">
        <v>6</v>
      </c>
      <c r="Y68" s="70">
        <f t="shared" si="22"/>
        <v>40</v>
      </c>
      <c r="Z68" s="70">
        <v>4</v>
      </c>
      <c r="AA68" s="70">
        <v>1</v>
      </c>
      <c r="AB68" s="70">
        <f t="shared" si="30"/>
        <v>25</v>
      </c>
      <c r="AC68" s="70">
        <v>0</v>
      </c>
      <c r="AD68" s="70">
        <v>0</v>
      </c>
      <c r="AE68" s="70">
        <v>0</v>
      </c>
      <c r="AF68" s="70">
        <v>6</v>
      </c>
      <c r="AG68" s="70">
        <v>3</v>
      </c>
      <c r="AH68" s="70">
        <f t="shared" si="35"/>
        <v>50</v>
      </c>
      <c r="AI68" s="70">
        <v>4</v>
      </c>
      <c r="AJ68" s="70">
        <v>3</v>
      </c>
      <c r="AK68" s="70">
        <f t="shared" si="32"/>
        <v>75</v>
      </c>
      <c r="AL68" s="71"/>
      <c r="AM68" s="89"/>
      <c r="AN68" s="84"/>
      <c r="AO68" s="76"/>
      <c r="AP68" s="76"/>
      <c r="AQ68" s="94"/>
    </row>
    <row r="69" spans="1:44" ht="12.75" customHeight="1" x14ac:dyDescent="0.2">
      <c r="A69" s="69" t="s">
        <v>11</v>
      </c>
      <c r="B69" s="70">
        <v>11</v>
      </c>
      <c r="C69" s="70">
        <v>4</v>
      </c>
      <c r="D69" s="70">
        <f t="shared" si="17"/>
        <v>36.363636363636367</v>
      </c>
      <c r="E69" s="70">
        <v>10</v>
      </c>
      <c r="F69" s="70">
        <v>3</v>
      </c>
      <c r="G69" s="70">
        <f t="shared" si="18"/>
        <v>30</v>
      </c>
      <c r="H69" s="70">
        <v>0</v>
      </c>
      <c r="I69" s="70">
        <v>0</v>
      </c>
      <c r="J69" s="70">
        <v>0</v>
      </c>
      <c r="K69" s="70">
        <v>3</v>
      </c>
      <c r="L69" s="70">
        <v>2</v>
      </c>
      <c r="M69" s="70">
        <f t="shared" si="34"/>
        <v>66.666666666666657</v>
      </c>
      <c r="N69" s="70">
        <v>12</v>
      </c>
      <c r="O69" s="70">
        <v>1</v>
      </c>
      <c r="P69" s="70">
        <f t="shared" si="19"/>
        <v>8.3333333333333321</v>
      </c>
      <c r="Q69" s="70">
        <v>7</v>
      </c>
      <c r="R69" s="70">
        <v>2</v>
      </c>
      <c r="S69" s="70">
        <f t="shared" si="20"/>
        <v>28.571428571428569</v>
      </c>
      <c r="T69" s="70">
        <v>9</v>
      </c>
      <c r="U69" s="70">
        <v>1</v>
      </c>
      <c r="V69" s="70">
        <f t="shared" si="21"/>
        <v>11.111111111111111</v>
      </c>
      <c r="W69" s="70">
        <v>6</v>
      </c>
      <c r="X69" s="70">
        <v>3</v>
      </c>
      <c r="Y69" s="70">
        <f t="shared" si="22"/>
        <v>50</v>
      </c>
      <c r="Z69" s="70">
        <v>3</v>
      </c>
      <c r="AA69" s="70">
        <v>1</v>
      </c>
      <c r="AB69" s="70">
        <f t="shared" si="30"/>
        <v>33.333333333333329</v>
      </c>
      <c r="AC69" s="70">
        <v>0</v>
      </c>
      <c r="AD69" s="70">
        <v>0</v>
      </c>
      <c r="AE69" s="70">
        <v>0</v>
      </c>
      <c r="AF69" s="70">
        <v>4</v>
      </c>
      <c r="AG69" s="70">
        <v>0</v>
      </c>
      <c r="AH69" s="70">
        <v>0</v>
      </c>
      <c r="AI69" s="70">
        <v>0</v>
      </c>
      <c r="AJ69" s="70">
        <v>0</v>
      </c>
      <c r="AK69" s="70">
        <v>0</v>
      </c>
      <c r="AL69" s="71"/>
      <c r="AM69" s="89"/>
      <c r="AN69" s="84"/>
      <c r="AO69" s="76"/>
      <c r="AP69" s="76"/>
      <c r="AQ69" s="94"/>
    </row>
    <row r="70" spans="1:44" ht="12.75" customHeight="1" x14ac:dyDescent="0.2">
      <c r="A70" s="69" t="s">
        <v>12</v>
      </c>
      <c r="B70" s="70">
        <v>9</v>
      </c>
      <c r="C70" s="70">
        <v>3</v>
      </c>
      <c r="D70" s="70">
        <f t="shared" si="17"/>
        <v>33.333333333333329</v>
      </c>
      <c r="E70" s="70">
        <v>7</v>
      </c>
      <c r="F70" s="70">
        <v>3</v>
      </c>
      <c r="G70" s="70">
        <f t="shared" si="18"/>
        <v>42.857142857142854</v>
      </c>
      <c r="H70" s="70">
        <v>8</v>
      </c>
      <c r="I70" s="70">
        <v>1</v>
      </c>
      <c r="J70" s="70">
        <f t="shared" ref="J70:J73" si="36">(I70/H70)*100</f>
        <v>12.5</v>
      </c>
      <c r="K70" s="70">
        <v>0</v>
      </c>
      <c r="L70" s="70">
        <v>0</v>
      </c>
      <c r="M70" s="70">
        <v>0</v>
      </c>
      <c r="N70" s="70">
        <v>14</v>
      </c>
      <c r="O70" s="70">
        <v>9</v>
      </c>
      <c r="P70" s="70">
        <f t="shared" si="19"/>
        <v>64.285714285714292</v>
      </c>
      <c r="Q70" s="70">
        <v>2</v>
      </c>
      <c r="R70" s="70">
        <v>1</v>
      </c>
      <c r="S70" s="70">
        <f t="shared" si="20"/>
        <v>50</v>
      </c>
      <c r="T70" s="70">
        <v>10</v>
      </c>
      <c r="U70" s="70">
        <v>5</v>
      </c>
      <c r="V70" s="70">
        <f t="shared" si="21"/>
        <v>50</v>
      </c>
      <c r="W70" s="70">
        <v>6</v>
      </c>
      <c r="X70" s="70">
        <v>5</v>
      </c>
      <c r="Y70" s="70">
        <f t="shared" si="22"/>
        <v>83.333333333333343</v>
      </c>
      <c r="Z70" s="70">
        <v>2</v>
      </c>
      <c r="AA70" s="70">
        <v>2</v>
      </c>
      <c r="AB70" s="70">
        <f t="shared" si="30"/>
        <v>100</v>
      </c>
      <c r="AC70" s="70"/>
      <c r="AD70" s="70"/>
      <c r="AE70" s="70"/>
      <c r="AF70" s="70">
        <v>1</v>
      </c>
      <c r="AG70" s="70">
        <v>0</v>
      </c>
      <c r="AH70" s="70">
        <v>0</v>
      </c>
      <c r="AI70" s="70"/>
      <c r="AJ70" s="70"/>
      <c r="AK70" s="70"/>
      <c r="AL70" s="71"/>
      <c r="AM70" s="89"/>
      <c r="AN70" s="84"/>
      <c r="AO70" s="76"/>
      <c r="AP70" s="76"/>
      <c r="AQ70" s="94"/>
    </row>
    <row r="71" spans="1:44" ht="23.1" customHeight="1" x14ac:dyDescent="0.2">
      <c r="A71" s="69" t="s">
        <v>53</v>
      </c>
      <c r="B71" s="70">
        <v>13</v>
      </c>
      <c r="C71" s="70">
        <v>6</v>
      </c>
      <c r="D71" s="70">
        <f t="shared" si="17"/>
        <v>46.153846153846153</v>
      </c>
      <c r="E71" s="70">
        <v>5</v>
      </c>
      <c r="F71" s="70">
        <v>4</v>
      </c>
      <c r="G71" s="70">
        <f t="shared" si="18"/>
        <v>80</v>
      </c>
      <c r="H71" s="70">
        <v>2</v>
      </c>
      <c r="I71" s="70">
        <v>2</v>
      </c>
      <c r="J71" s="70">
        <f t="shared" si="36"/>
        <v>100</v>
      </c>
      <c r="K71" s="70">
        <v>0</v>
      </c>
      <c r="L71" s="70">
        <v>0</v>
      </c>
      <c r="M71" s="70">
        <v>0</v>
      </c>
      <c r="N71" s="70">
        <v>17</v>
      </c>
      <c r="O71" s="70">
        <v>11</v>
      </c>
      <c r="P71" s="70">
        <f t="shared" si="19"/>
        <v>64.705882352941174</v>
      </c>
      <c r="Q71" s="70">
        <v>5</v>
      </c>
      <c r="R71" s="70">
        <v>5</v>
      </c>
      <c r="S71" s="70">
        <f t="shared" si="20"/>
        <v>100</v>
      </c>
      <c r="T71" s="70">
        <v>3</v>
      </c>
      <c r="U71" s="70">
        <v>2</v>
      </c>
      <c r="V71" s="70">
        <f t="shared" si="21"/>
        <v>66.666666666666657</v>
      </c>
      <c r="W71" s="70">
        <v>9</v>
      </c>
      <c r="X71" s="70">
        <v>3</v>
      </c>
      <c r="Y71" s="70">
        <f t="shared" si="22"/>
        <v>33.333333333333329</v>
      </c>
      <c r="Z71" s="70">
        <v>2</v>
      </c>
      <c r="AA71" s="70">
        <v>2</v>
      </c>
      <c r="AB71" s="70">
        <f t="shared" si="30"/>
        <v>100</v>
      </c>
      <c r="AC71" s="70">
        <v>13</v>
      </c>
      <c r="AD71" s="70">
        <v>10</v>
      </c>
      <c r="AE71" s="70">
        <v>0</v>
      </c>
      <c r="AF71" s="70">
        <v>3</v>
      </c>
      <c r="AG71" s="70">
        <v>3</v>
      </c>
      <c r="AH71" s="70">
        <f t="shared" ref="AH71:AH72" si="37">(AG71/AF71)*100</f>
        <v>100</v>
      </c>
      <c r="AI71" s="70">
        <v>6</v>
      </c>
      <c r="AJ71" s="70">
        <v>3</v>
      </c>
      <c r="AK71" s="70">
        <f t="shared" ref="AK71" si="38">(AJ71/AI71)*100</f>
        <v>50</v>
      </c>
      <c r="AL71" s="71"/>
      <c r="AM71" s="89"/>
      <c r="AN71" s="84"/>
      <c r="AO71" s="76"/>
      <c r="AP71" s="76"/>
      <c r="AQ71" s="94"/>
    </row>
    <row r="72" spans="1:44" ht="23.1" customHeight="1" x14ac:dyDescent="0.2">
      <c r="A72" s="69" t="s">
        <v>52</v>
      </c>
      <c r="B72" s="77">
        <v>18</v>
      </c>
      <c r="C72" s="77">
        <v>7</v>
      </c>
      <c r="D72" s="70">
        <f t="shared" si="17"/>
        <v>38.888888888888893</v>
      </c>
      <c r="E72" s="77">
        <v>8</v>
      </c>
      <c r="F72" s="77">
        <v>5</v>
      </c>
      <c r="G72" s="70">
        <f t="shared" si="18"/>
        <v>62.5</v>
      </c>
      <c r="H72" s="77">
        <v>6</v>
      </c>
      <c r="I72" s="77">
        <v>4</v>
      </c>
      <c r="J72" s="70">
        <f t="shared" si="36"/>
        <v>66.666666666666657</v>
      </c>
      <c r="K72" s="77">
        <v>7</v>
      </c>
      <c r="L72" s="77">
        <v>7</v>
      </c>
      <c r="M72" s="70">
        <f t="shared" ref="M72" si="39">(L72/K72)*100</f>
        <v>100</v>
      </c>
      <c r="N72" s="77">
        <v>18</v>
      </c>
      <c r="O72" s="77">
        <v>10</v>
      </c>
      <c r="P72" s="70">
        <f t="shared" si="19"/>
        <v>55.555555555555557</v>
      </c>
      <c r="Q72" s="77">
        <v>6</v>
      </c>
      <c r="R72" s="77">
        <v>3</v>
      </c>
      <c r="S72" s="70">
        <f t="shared" si="20"/>
        <v>50</v>
      </c>
      <c r="T72" s="77">
        <v>7</v>
      </c>
      <c r="U72" s="77">
        <v>5</v>
      </c>
      <c r="V72" s="70">
        <f t="shared" si="21"/>
        <v>71.428571428571431</v>
      </c>
      <c r="W72" s="77">
        <v>3</v>
      </c>
      <c r="X72" s="77">
        <v>2</v>
      </c>
      <c r="Y72" s="70">
        <f t="shared" si="22"/>
        <v>66.666666666666657</v>
      </c>
      <c r="Z72" s="77">
        <v>4</v>
      </c>
      <c r="AA72" s="77">
        <v>3</v>
      </c>
      <c r="AB72" s="70">
        <f t="shared" si="30"/>
        <v>75</v>
      </c>
      <c r="AC72" s="77">
        <v>3</v>
      </c>
      <c r="AD72" s="77">
        <v>0</v>
      </c>
      <c r="AE72" s="77">
        <v>0</v>
      </c>
      <c r="AF72" s="77">
        <v>2</v>
      </c>
      <c r="AG72" s="77">
        <v>1</v>
      </c>
      <c r="AH72" s="70">
        <f t="shared" si="37"/>
        <v>50</v>
      </c>
      <c r="AI72" s="77">
        <v>2</v>
      </c>
      <c r="AJ72" s="77">
        <v>0</v>
      </c>
      <c r="AK72" s="77">
        <v>0</v>
      </c>
      <c r="AL72" s="71"/>
      <c r="AM72" s="89"/>
      <c r="AN72" s="84"/>
      <c r="AO72" s="76"/>
      <c r="AP72" s="76"/>
      <c r="AQ72" s="94"/>
    </row>
    <row r="73" spans="1:44" ht="23.1" customHeight="1" x14ac:dyDescent="0.2">
      <c r="A73" s="69" t="s">
        <v>32</v>
      </c>
      <c r="B73" s="70">
        <v>15</v>
      </c>
      <c r="C73" s="70">
        <v>9</v>
      </c>
      <c r="D73" s="70">
        <f t="shared" si="17"/>
        <v>60</v>
      </c>
      <c r="E73" s="70">
        <v>10</v>
      </c>
      <c r="F73" s="70">
        <v>1</v>
      </c>
      <c r="G73" s="70">
        <f t="shared" si="18"/>
        <v>10</v>
      </c>
      <c r="H73" s="70">
        <v>5</v>
      </c>
      <c r="I73" s="70">
        <v>3</v>
      </c>
      <c r="J73" s="70">
        <f t="shared" si="36"/>
        <v>60</v>
      </c>
      <c r="K73" s="70">
        <v>0</v>
      </c>
      <c r="L73" s="70">
        <v>0</v>
      </c>
      <c r="M73" s="70">
        <v>0</v>
      </c>
      <c r="N73" s="70">
        <v>8</v>
      </c>
      <c r="O73" s="70">
        <v>8</v>
      </c>
      <c r="P73" s="70">
        <f t="shared" si="19"/>
        <v>100</v>
      </c>
      <c r="Q73" s="70">
        <v>6</v>
      </c>
      <c r="R73" s="70">
        <v>5</v>
      </c>
      <c r="S73" s="70">
        <f t="shared" si="20"/>
        <v>83.333333333333343</v>
      </c>
      <c r="T73" s="70">
        <v>10</v>
      </c>
      <c r="U73" s="70">
        <v>8</v>
      </c>
      <c r="V73" s="70">
        <f t="shared" si="21"/>
        <v>80</v>
      </c>
      <c r="W73" s="70">
        <v>0</v>
      </c>
      <c r="X73" s="70">
        <v>0</v>
      </c>
      <c r="Y73" s="70">
        <v>0</v>
      </c>
      <c r="Z73" s="70">
        <v>0</v>
      </c>
      <c r="AA73" s="70">
        <v>0</v>
      </c>
      <c r="AB73" s="70">
        <v>0</v>
      </c>
      <c r="AC73" s="70">
        <v>0</v>
      </c>
      <c r="AD73" s="70">
        <v>0</v>
      </c>
      <c r="AE73" s="70">
        <v>0</v>
      </c>
      <c r="AF73" s="70">
        <v>0</v>
      </c>
      <c r="AG73" s="70">
        <v>0</v>
      </c>
      <c r="AH73" s="70">
        <v>0</v>
      </c>
      <c r="AI73" s="70">
        <v>4</v>
      </c>
      <c r="AJ73" s="70">
        <v>2</v>
      </c>
      <c r="AK73" s="70">
        <f t="shared" ref="AK73:AK75" si="40">(AJ73/AI73)*100</f>
        <v>50</v>
      </c>
      <c r="AL73" s="71"/>
      <c r="AM73" s="89"/>
      <c r="AN73" s="84"/>
      <c r="AO73" s="76"/>
      <c r="AP73" s="76"/>
      <c r="AQ73" s="94"/>
    </row>
    <row r="74" spans="1:44" ht="23.1" customHeight="1" x14ac:dyDescent="0.2">
      <c r="A74" s="69" t="s">
        <v>51</v>
      </c>
      <c r="B74" s="70">
        <v>13</v>
      </c>
      <c r="C74" s="70">
        <v>8</v>
      </c>
      <c r="D74" s="70">
        <f t="shared" si="17"/>
        <v>61.53846153846154</v>
      </c>
      <c r="E74" s="70">
        <v>15</v>
      </c>
      <c r="F74" s="70">
        <v>6</v>
      </c>
      <c r="G74" s="70">
        <f t="shared" si="18"/>
        <v>40</v>
      </c>
      <c r="H74" s="70">
        <v>0</v>
      </c>
      <c r="I74" s="70">
        <v>0</v>
      </c>
      <c r="J74" s="70">
        <v>0</v>
      </c>
      <c r="K74" s="70">
        <v>0</v>
      </c>
      <c r="L74" s="70">
        <v>0</v>
      </c>
      <c r="M74" s="70">
        <v>0</v>
      </c>
      <c r="N74" s="70">
        <v>4</v>
      </c>
      <c r="O74" s="70">
        <v>1</v>
      </c>
      <c r="P74" s="70">
        <f t="shared" si="19"/>
        <v>25</v>
      </c>
      <c r="Q74" s="70">
        <v>16</v>
      </c>
      <c r="R74" s="70">
        <v>5</v>
      </c>
      <c r="S74" s="70">
        <f t="shared" si="20"/>
        <v>31.25</v>
      </c>
      <c r="T74" s="70">
        <v>17</v>
      </c>
      <c r="U74" s="70">
        <v>4</v>
      </c>
      <c r="V74" s="70">
        <f t="shared" si="21"/>
        <v>23.52941176470588</v>
      </c>
      <c r="W74" s="70">
        <v>1</v>
      </c>
      <c r="X74" s="70">
        <v>0</v>
      </c>
      <c r="Y74" s="70">
        <f t="shared" ref="Y74:Y75" si="41">(X74/W74)*100</f>
        <v>0</v>
      </c>
      <c r="Z74" s="70">
        <v>0</v>
      </c>
      <c r="AA74" s="70">
        <v>0</v>
      </c>
      <c r="AB74" s="70">
        <v>0</v>
      </c>
      <c r="AC74" s="70">
        <v>8</v>
      </c>
      <c r="AD74" s="70">
        <v>2</v>
      </c>
      <c r="AE74" s="70">
        <f t="shared" ref="AE74:AE75" si="42">(AD74/AC74)*100</f>
        <v>25</v>
      </c>
      <c r="AF74" s="70">
        <v>0</v>
      </c>
      <c r="AG74" s="70">
        <v>0</v>
      </c>
      <c r="AH74" s="70">
        <v>0</v>
      </c>
      <c r="AI74" s="70">
        <v>4</v>
      </c>
      <c r="AJ74" s="70">
        <v>1</v>
      </c>
      <c r="AK74" s="70">
        <f t="shared" si="40"/>
        <v>25</v>
      </c>
      <c r="AL74" s="71"/>
      <c r="AM74" s="89"/>
      <c r="AN74" s="84"/>
      <c r="AO74" s="76"/>
      <c r="AP74" s="76"/>
      <c r="AQ74" s="94"/>
    </row>
    <row r="75" spans="1:44" ht="23.1" customHeight="1" x14ac:dyDescent="0.2">
      <c r="A75" s="83" t="s">
        <v>50</v>
      </c>
      <c r="B75" s="70">
        <v>55</v>
      </c>
      <c r="C75" s="70">
        <v>32</v>
      </c>
      <c r="D75" s="70">
        <f t="shared" si="17"/>
        <v>58.18181818181818</v>
      </c>
      <c r="E75" s="70">
        <v>62</v>
      </c>
      <c r="F75" s="70">
        <v>21</v>
      </c>
      <c r="G75" s="70">
        <f t="shared" si="18"/>
        <v>33.87096774193548</v>
      </c>
      <c r="H75" s="70">
        <v>10</v>
      </c>
      <c r="I75" s="70">
        <v>2</v>
      </c>
      <c r="J75" s="70">
        <f t="shared" ref="J75" si="43">(I75/H75)*100</f>
        <v>20</v>
      </c>
      <c r="K75" s="70">
        <v>2</v>
      </c>
      <c r="L75" s="70">
        <v>0</v>
      </c>
      <c r="M75" s="70">
        <v>0</v>
      </c>
      <c r="N75" s="70">
        <v>29</v>
      </c>
      <c r="O75" s="70">
        <v>17</v>
      </c>
      <c r="P75" s="70">
        <f t="shared" si="19"/>
        <v>58.620689655172406</v>
      </c>
      <c r="Q75" s="70">
        <v>18</v>
      </c>
      <c r="R75" s="70">
        <v>6</v>
      </c>
      <c r="S75" s="70">
        <f t="shared" si="20"/>
        <v>33.333333333333329</v>
      </c>
      <c r="T75" s="70">
        <v>24</v>
      </c>
      <c r="U75" s="70">
        <v>9</v>
      </c>
      <c r="V75" s="70">
        <f t="shared" si="21"/>
        <v>37.5</v>
      </c>
      <c r="W75" s="70">
        <v>14</v>
      </c>
      <c r="X75" s="70">
        <v>6</v>
      </c>
      <c r="Y75" s="70">
        <f t="shared" si="41"/>
        <v>42.857142857142854</v>
      </c>
      <c r="Z75" s="70">
        <v>13</v>
      </c>
      <c r="AA75" s="70">
        <v>4</v>
      </c>
      <c r="AB75" s="70">
        <f t="shared" ref="AB75" si="44">(AA75/Z75)*100</f>
        <v>30.76923076923077</v>
      </c>
      <c r="AC75" s="70">
        <v>42</v>
      </c>
      <c r="AD75" s="70">
        <v>15</v>
      </c>
      <c r="AE75" s="70">
        <f t="shared" si="42"/>
        <v>35.714285714285715</v>
      </c>
      <c r="AF75" s="70">
        <v>6</v>
      </c>
      <c r="AG75" s="70">
        <v>0</v>
      </c>
      <c r="AH75" s="70">
        <v>0</v>
      </c>
      <c r="AI75" s="70">
        <v>20</v>
      </c>
      <c r="AJ75" s="70">
        <v>8</v>
      </c>
      <c r="AK75" s="70">
        <f t="shared" si="40"/>
        <v>40</v>
      </c>
      <c r="AL75" s="71"/>
      <c r="AM75" s="89"/>
      <c r="AN75" s="84"/>
      <c r="AO75" s="76"/>
      <c r="AP75" s="76"/>
      <c r="AQ75" s="94"/>
    </row>
    <row r="76" spans="1:44" ht="23.1" customHeight="1" x14ac:dyDescent="0.2">
      <c r="A76" s="83" t="s">
        <v>49</v>
      </c>
      <c r="B76" s="70" t="s">
        <v>37</v>
      </c>
      <c r="C76" s="70" t="s">
        <v>37</v>
      </c>
      <c r="D76" s="70" t="s">
        <v>37</v>
      </c>
      <c r="E76" s="70" t="s">
        <v>37</v>
      </c>
      <c r="F76" s="70" t="s">
        <v>37</v>
      </c>
      <c r="G76" s="70" t="s">
        <v>37</v>
      </c>
      <c r="H76" s="70" t="s">
        <v>37</v>
      </c>
      <c r="I76" s="70" t="s">
        <v>37</v>
      </c>
      <c r="J76" s="70" t="s">
        <v>37</v>
      </c>
      <c r="K76" s="70" t="s">
        <v>37</v>
      </c>
      <c r="L76" s="70" t="s">
        <v>37</v>
      </c>
      <c r="M76" s="70" t="s">
        <v>37</v>
      </c>
      <c r="N76" s="70" t="s">
        <v>37</v>
      </c>
      <c r="O76" s="70" t="s">
        <v>37</v>
      </c>
      <c r="P76" s="70" t="s">
        <v>37</v>
      </c>
      <c r="Q76" s="70" t="s">
        <v>37</v>
      </c>
      <c r="R76" s="70" t="s">
        <v>37</v>
      </c>
      <c r="S76" s="70" t="s">
        <v>37</v>
      </c>
      <c r="T76" s="70" t="s">
        <v>37</v>
      </c>
      <c r="U76" s="70" t="s">
        <v>37</v>
      </c>
      <c r="V76" s="70" t="s">
        <v>37</v>
      </c>
      <c r="W76" s="70" t="s">
        <v>37</v>
      </c>
      <c r="X76" s="70" t="s">
        <v>37</v>
      </c>
      <c r="Y76" s="70" t="s">
        <v>37</v>
      </c>
      <c r="Z76" s="70" t="s">
        <v>37</v>
      </c>
      <c r="AA76" s="70" t="s">
        <v>37</v>
      </c>
      <c r="AB76" s="70" t="s">
        <v>37</v>
      </c>
      <c r="AC76" s="70" t="s">
        <v>37</v>
      </c>
      <c r="AD76" s="70" t="s">
        <v>37</v>
      </c>
      <c r="AE76" s="70" t="s">
        <v>37</v>
      </c>
      <c r="AF76" s="70" t="s">
        <v>37</v>
      </c>
      <c r="AG76" s="70" t="s">
        <v>37</v>
      </c>
      <c r="AH76" s="70" t="s">
        <v>37</v>
      </c>
      <c r="AI76" s="70" t="s">
        <v>37</v>
      </c>
      <c r="AJ76" s="70" t="s">
        <v>37</v>
      </c>
      <c r="AK76" s="70" t="s">
        <v>37</v>
      </c>
      <c r="AL76" s="71"/>
      <c r="AM76" s="89"/>
      <c r="AN76" s="84"/>
      <c r="AO76" s="85"/>
      <c r="AP76" s="76"/>
      <c r="AQ76" s="94"/>
    </row>
    <row r="77" spans="1:44" ht="12.75" customHeight="1" x14ac:dyDescent="0.2">
      <c r="A77" s="83" t="s">
        <v>13</v>
      </c>
      <c r="B77" s="70">
        <v>15</v>
      </c>
      <c r="C77" s="70">
        <v>9</v>
      </c>
      <c r="D77" s="70">
        <f t="shared" ref="D77:D80" si="45">(C77/B77)*100</f>
        <v>60</v>
      </c>
      <c r="E77" s="70">
        <v>9</v>
      </c>
      <c r="F77" s="70">
        <v>6</v>
      </c>
      <c r="G77" s="70">
        <f t="shared" ref="G77:G79" si="46">(F77/E77)*100</f>
        <v>66.666666666666657</v>
      </c>
      <c r="H77" s="70">
        <v>24</v>
      </c>
      <c r="I77" s="70">
        <v>12</v>
      </c>
      <c r="J77" s="70">
        <f t="shared" ref="J77:J79" si="47">(I77/H77)*100</f>
        <v>50</v>
      </c>
      <c r="K77" s="70">
        <v>3</v>
      </c>
      <c r="L77" s="70">
        <v>0</v>
      </c>
      <c r="M77" s="70">
        <v>0</v>
      </c>
      <c r="N77" s="70">
        <v>8</v>
      </c>
      <c r="O77" s="70">
        <v>8</v>
      </c>
      <c r="P77" s="70">
        <f t="shared" si="19"/>
        <v>100</v>
      </c>
      <c r="Q77" s="70">
        <v>9</v>
      </c>
      <c r="R77" s="70">
        <v>9</v>
      </c>
      <c r="S77" s="70">
        <f t="shared" ref="S77:S80" si="48">(R77/Q77)*100</f>
        <v>100</v>
      </c>
      <c r="T77" s="70">
        <v>9</v>
      </c>
      <c r="U77" s="70">
        <v>6</v>
      </c>
      <c r="V77" s="70">
        <f t="shared" ref="V77" si="49">(U77/T77)*100</f>
        <v>66.666666666666657</v>
      </c>
      <c r="W77" s="70">
        <v>24</v>
      </c>
      <c r="X77" s="70">
        <v>12</v>
      </c>
      <c r="Y77" s="70">
        <f t="shared" ref="Y77:Y80" si="50">(X77/W77)*100</f>
        <v>50</v>
      </c>
      <c r="Z77" s="70">
        <v>3</v>
      </c>
      <c r="AA77" s="70">
        <v>0</v>
      </c>
      <c r="AB77" s="70">
        <v>0</v>
      </c>
      <c r="AC77" s="70">
        <v>9</v>
      </c>
      <c r="AD77" s="70">
        <v>6</v>
      </c>
      <c r="AE77" s="70">
        <f t="shared" ref="AE77" si="51">(AD77/AC77)*100</f>
        <v>66.666666666666657</v>
      </c>
      <c r="AF77" s="70">
        <v>24</v>
      </c>
      <c r="AG77" s="70">
        <v>12</v>
      </c>
      <c r="AH77" s="70">
        <f t="shared" ref="AH77:AH78" si="52">(AG77/AF77)*100</f>
        <v>50</v>
      </c>
      <c r="AI77" s="70">
        <v>3</v>
      </c>
      <c r="AJ77" s="70">
        <v>3</v>
      </c>
      <c r="AK77" s="70">
        <f t="shared" ref="AK77:AK78" si="53">(AJ77/AI77)*100</f>
        <v>100</v>
      </c>
      <c r="AL77" s="71"/>
      <c r="AM77" s="89"/>
      <c r="AN77" s="84"/>
      <c r="AO77" s="76"/>
      <c r="AP77" s="76"/>
      <c r="AQ77" s="94"/>
    </row>
    <row r="78" spans="1:44" ht="12.75" customHeight="1" x14ac:dyDescent="0.2">
      <c r="A78" s="83" t="s">
        <v>47</v>
      </c>
      <c r="B78" s="70">
        <v>4</v>
      </c>
      <c r="C78" s="70">
        <v>4</v>
      </c>
      <c r="D78" s="70">
        <f t="shared" si="45"/>
        <v>100</v>
      </c>
      <c r="E78" s="70">
        <v>7</v>
      </c>
      <c r="F78" s="70">
        <v>3</v>
      </c>
      <c r="G78" s="70">
        <f t="shared" si="46"/>
        <v>42.857142857142854</v>
      </c>
      <c r="H78" s="70">
        <v>3</v>
      </c>
      <c r="I78" s="70">
        <v>1</v>
      </c>
      <c r="J78" s="70">
        <f t="shared" si="47"/>
        <v>33.333333333333329</v>
      </c>
      <c r="K78" s="70">
        <v>5</v>
      </c>
      <c r="L78" s="70">
        <v>4</v>
      </c>
      <c r="M78" s="70">
        <f t="shared" ref="M78:M79" si="54">(L78/K78)*100</f>
        <v>80</v>
      </c>
      <c r="N78" s="70">
        <v>7</v>
      </c>
      <c r="O78" s="70">
        <v>4</v>
      </c>
      <c r="P78" s="70">
        <f t="shared" si="19"/>
        <v>57.142857142857139</v>
      </c>
      <c r="Q78" s="70">
        <v>7</v>
      </c>
      <c r="R78" s="70">
        <v>3</v>
      </c>
      <c r="S78" s="70">
        <f t="shared" si="48"/>
        <v>42.857142857142854</v>
      </c>
      <c r="T78" s="70">
        <v>1</v>
      </c>
      <c r="U78" s="70">
        <v>0</v>
      </c>
      <c r="V78" s="70">
        <v>0</v>
      </c>
      <c r="W78" s="70">
        <v>5</v>
      </c>
      <c r="X78" s="70">
        <v>2</v>
      </c>
      <c r="Y78" s="70">
        <f t="shared" si="50"/>
        <v>40</v>
      </c>
      <c r="Z78" s="70">
        <v>0</v>
      </c>
      <c r="AA78" s="70">
        <v>0</v>
      </c>
      <c r="AB78" s="70">
        <v>0</v>
      </c>
      <c r="AC78" s="70">
        <v>3</v>
      </c>
      <c r="AD78" s="70">
        <v>0</v>
      </c>
      <c r="AE78" s="70">
        <v>0</v>
      </c>
      <c r="AF78" s="70">
        <v>2</v>
      </c>
      <c r="AG78" s="70">
        <v>1</v>
      </c>
      <c r="AH78" s="70">
        <f t="shared" si="52"/>
        <v>50</v>
      </c>
      <c r="AI78" s="70">
        <v>3</v>
      </c>
      <c r="AJ78" s="70">
        <v>3</v>
      </c>
      <c r="AK78" s="70">
        <f t="shared" si="53"/>
        <v>100</v>
      </c>
      <c r="AL78" s="71"/>
      <c r="AM78" s="89"/>
      <c r="AN78" s="84"/>
      <c r="AO78" s="76"/>
      <c r="AP78" s="76"/>
      <c r="AQ78" s="94"/>
    </row>
    <row r="79" spans="1:44" ht="12.75" customHeight="1" x14ac:dyDescent="0.2">
      <c r="A79" s="83" t="s">
        <v>46</v>
      </c>
      <c r="B79" s="73">
        <v>5</v>
      </c>
      <c r="C79" s="73">
        <v>2</v>
      </c>
      <c r="D79" s="70">
        <f t="shared" si="45"/>
        <v>40</v>
      </c>
      <c r="E79" s="73">
        <v>5</v>
      </c>
      <c r="F79" s="73">
        <v>2</v>
      </c>
      <c r="G79" s="70">
        <f t="shared" si="46"/>
        <v>40</v>
      </c>
      <c r="H79" s="73">
        <v>2</v>
      </c>
      <c r="I79" s="73">
        <v>1</v>
      </c>
      <c r="J79" s="70">
        <f t="shared" si="47"/>
        <v>50</v>
      </c>
      <c r="K79" s="73">
        <v>1</v>
      </c>
      <c r="L79" s="73">
        <v>1</v>
      </c>
      <c r="M79" s="70">
        <f t="shared" si="54"/>
        <v>100</v>
      </c>
      <c r="N79" s="73">
        <v>8</v>
      </c>
      <c r="O79" s="73">
        <v>5</v>
      </c>
      <c r="P79" s="70">
        <f t="shared" si="19"/>
        <v>62.5</v>
      </c>
      <c r="Q79" s="73">
        <v>5</v>
      </c>
      <c r="R79" s="73">
        <v>3</v>
      </c>
      <c r="S79" s="70">
        <f t="shared" si="48"/>
        <v>60</v>
      </c>
      <c r="T79" s="73">
        <v>1</v>
      </c>
      <c r="U79" s="73">
        <v>1</v>
      </c>
      <c r="V79" s="70">
        <f t="shared" ref="V79:V80" si="55">(U79/T79)*100</f>
        <v>100</v>
      </c>
      <c r="W79" s="73">
        <v>10</v>
      </c>
      <c r="X79" s="73">
        <v>5</v>
      </c>
      <c r="Y79" s="70">
        <f t="shared" si="50"/>
        <v>50</v>
      </c>
      <c r="Z79" s="73">
        <v>1</v>
      </c>
      <c r="AA79" s="73">
        <v>1</v>
      </c>
      <c r="AB79" s="70">
        <f t="shared" ref="AB79" si="56">(AA79/Z79)*100</f>
        <v>100</v>
      </c>
      <c r="AC79" s="73">
        <v>0</v>
      </c>
      <c r="AD79" s="73">
        <v>0</v>
      </c>
      <c r="AE79" s="73">
        <v>0</v>
      </c>
      <c r="AF79" s="73">
        <v>0</v>
      </c>
      <c r="AG79" s="73">
        <v>0</v>
      </c>
      <c r="AH79" s="73">
        <v>0</v>
      </c>
      <c r="AI79" s="73">
        <v>0</v>
      </c>
      <c r="AJ79" s="73">
        <v>0</v>
      </c>
      <c r="AK79" s="73">
        <v>0</v>
      </c>
      <c r="AL79" s="71"/>
      <c r="AM79" s="89"/>
      <c r="AN79" s="84"/>
      <c r="AO79" s="76"/>
      <c r="AP79" s="76"/>
      <c r="AQ79" s="94"/>
    </row>
    <row r="80" spans="1:44" ht="12.75" customHeight="1" x14ac:dyDescent="0.2">
      <c r="A80" s="83" t="s">
        <v>15</v>
      </c>
      <c r="B80" s="70">
        <v>1</v>
      </c>
      <c r="C80" s="70">
        <v>1</v>
      </c>
      <c r="D80" s="70">
        <f t="shared" si="45"/>
        <v>100</v>
      </c>
      <c r="E80" s="70">
        <v>0</v>
      </c>
      <c r="F80" s="70">
        <v>0</v>
      </c>
      <c r="G80" s="70">
        <v>0</v>
      </c>
      <c r="H80" s="70">
        <v>0</v>
      </c>
      <c r="I80" s="70">
        <v>0</v>
      </c>
      <c r="J80" s="70">
        <v>0</v>
      </c>
      <c r="K80" s="70">
        <v>0</v>
      </c>
      <c r="L80" s="70">
        <v>0</v>
      </c>
      <c r="M80" s="70">
        <v>0</v>
      </c>
      <c r="N80" s="70">
        <v>0</v>
      </c>
      <c r="O80" s="70">
        <v>0</v>
      </c>
      <c r="P80" s="70">
        <v>0</v>
      </c>
      <c r="Q80" s="70">
        <v>1</v>
      </c>
      <c r="R80" s="70">
        <v>1</v>
      </c>
      <c r="S80" s="70">
        <f t="shared" si="48"/>
        <v>100</v>
      </c>
      <c r="T80" s="70">
        <v>1</v>
      </c>
      <c r="U80" s="70">
        <v>1</v>
      </c>
      <c r="V80" s="70">
        <f t="shared" si="55"/>
        <v>100</v>
      </c>
      <c r="W80" s="70">
        <v>1</v>
      </c>
      <c r="X80" s="70">
        <v>1</v>
      </c>
      <c r="Y80" s="70">
        <f t="shared" si="50"/>
        <v>100</v>
      </c>
      <c r="Z80" s="70">
        <v>0</v>
      </c>
      <c r="AA80" s="70">
        <v>0</v>
      </c>
      <c r="AB80" s="70">
        <v>0</v>
      </c>
      <c r="AC80" s="70">
        <v>0</v>
      </c>
      <c r="AD80" s="70">
        <v>0</v>
      </c>
      <c r="AE80" s="70">
        <v>0</v>
      </c>
      <c r="AF80" s="70">
        <v>1</v>
      </c>
      <c r="AG80" s="70">
        <v>1</v>
      </c>
      <c r="AH80" s="70">
        <f t="shared" ref="AH80" si="57">(AG80/AF80)*100</f>
        <v>100</v>
      </c>
      <c r="AI80" s="70">
        <v>0</v>
      </c>
      <c r="AJ80" s="70">
        <v>0</v>
      </c>
      <c r="AK80" s="70">
        <v>0</v>
      </c>
      <c r="AL80" s="71"/>
      <c r="AM80" s="89"/>
      <c r="AN80" s="84"/>
      <c r="AO80" s="76"/>
      <c r="AP80" s="76"/>
      <c r="AQ80" s="94"/>
    </row>
    <row r="81" spans="1:43" ht="23.1" customHeight="1" x14ac:dyDescent="0.2">
      <c r="A81" s="83" t="s">
        <v>44</v>
      </c>
      <c r="B81" s="70">
        <v>0</v>
      </c>
      <c r="C81" s="70">
        <v>0</v>
      </c>
      <c r="D81" s="70">
        <v>0</v>
      </c>
      <c r="E81" s="70">
        <v>0</v>
      </c>
      <c r="F81" s="70">
        <v>0</v>
      </c>
      <c r="G81" s="70">
        <v>0</v>
      </c>
      <c r="H81" s="70">
        <v>0</v>
      </c>
      <c r="I81" s="70">
        <v>0</v>
      </c>
      <c r="J81" s="70">
        <v>0</v>
      </c>
      <c r="K81" s="70">
        <v>0</v>
      </c>
      <c r="L81" s="70">
        <v>0</v>
      </c>
      <c r="M81" s="70">
        <v>0</v>
      </c>
      <c r="N81" s="70">
        <v>0</v>
      </c>
      <c r="O81" s="70">
        <v>0</v>
      </c>
      <c r="P81" s="70">
        <v>0</v>
      </c>
      <c r="Q81" s="70">
        <v>0</v>
      </c>
      <c r="R81" s="70">
        <v>0</v>
      </c>
      <c r="S81" s="70">
        <v>0</v>
      </c>
      <c r="T81" s="70">
        <v>0</v>
      </c>
      <c r="U81" s="70">
        <v>0</v>
      </c>
      <c r="V81" s="70">
        <v>0</v>
      </c>
      <c r="W81" s="70">
        <v>0</v>
      </c>
      <c r="X81" s="70">
        <v>0</v>
      </c>
      <c r="Y81" s="70">
        <v>0</v>
      </c>
      <c r="Z81" s="70">
        <v>0</v>
      </c>
      <c r="AA81" s="70">
        <v>0</v>
      </c>
      <c r="AB81" s="70">
        <v>0</v>
      </c>
      <c r="AC81" s="70">
        <v>0</v>
      </c>
      <c r="AD81" s="70">
        <v>0</v>
      </c>
      <c r="AE81" s="70">
        <v>0</v>
      </c>
      <c r="AF81" s="70">
        <v>0</v>
      </c>
      <c r="AG81" s="70">
        <v>0</v>
      </c>
      <c r="AH81" s="70">
        <v>0</v>
      </c>
      <c r="AI81" s="70">
        <v>0</v>
      </c>
      <c r="AJ81" s="70">
        <v>0</v>
      </c>
      <c r="AK81" s="70">
        <v>0</v>
      </c>
      <c r="AL81" s="71"/>
      <c r="AM81" s="89"/>
      <c r="AN81" s="84"/>
      <c r="AO81" s="76"/>
      <c r="AP81" s="76"/>
      <c r="AQ81" s="94"/>
    </row>
    <row r="82" spans="1:43" ht="23.1" customHeight="1" x14ac:dyDescent="0.2">
      <c r="A82" s="83" t="s">
        <v>16</v>
      </c>
      <c r="B82" s="70">
        <v>6</v>
      </c>
      <c r="C82" s="70">
        <v>4</v>
      </c>
      <c r="D82" s="70">
        <f t="shared" ref="D82" si="58">(C82/B82)*100</f>
        <v>66.666666666666657</v>
      </c>
      <c r="E82" s="70">
        <v>3</v>
      </c>
      <c r="F82" s="70">
        <v>1</v>
      </c>
      <c r="G82" s="70">
        <f t="shared" ref="G82" si="59">(F82/E82)*100</f>
        <v>33.333333333333329</v>
      </c>
      <c r="H82" s="70">
        <v>3</v>
      </c>
      <c r="I82" s="70">
        <v>1</v>
      </c>
      <c r="J82" s="70">
        <f t="shared" ref="J82" si="60">(I82/H82)*100</f>
        <v>33.333333333333329</v>
      </c>
      <c r="K82" s="70">
        <v>5</v>
      </c>
      <c r="L82" s="70">
        <v>1</v>
      </c>
      <c r="M82" s="70">
        <f t="shared" ref="M82" si="61">(L82/K82)*100</f>
        <v>20</v>
      </c>
      <c r="N82" s="70">
        <v>4</v>
      </c>
      <c r="O82" s="70">
        <v>2</v>
      </c>
      <c r="P82" s="70">
        <f t="shared" ref="P82" si="62">(O82/N82)*100</f>
        <v>50</v>
      </c>
      <c r="Q82" s="70">
        <v>2</v>
      </c>
      <c r="R82" s="70">
        <v>2</v>
      </c>
      <c r="S82" s="70">
        <f t="shared" ref="S82" si="63">(R82/Q82)*100</f>
        <v>100</v>
      </c>
      <c r="T82" s="70">
        <v>4</v>
      </c>
      <c r="U82" s="70">
        <v>3</v>
      </c>
      <c r="V82" s="70">
        <f t="shared" ref="V82" si="64">(U82/T82)*100</f>
        <v>75</v>
      </c>
      <c r="W82" s="70">
        <v>4</v>
      </c>
      <c r="X82" s="70">
        <v>2</v>
      </c>
      <c r="Y82" s="70">
        <f t="shared" ref="Y82" si="65">(X82/W82)*100</f>
        <v>50</v>
      </c>
      <c r="Z82" s="70">
        <v>2</v>
      </c>
      <c r="AA82" s="70">
        <v>1</v>
      </c>
      <c r="AB82" s="70">
        <f t="shared" ref="AB82" si="66">(AA82/Z82)*100</f>
        <v>50</v>
      </c>
      <c r="AC82" s="70">
        <v>0</v>
      </c>
      <c r="AD82" s="70">
        <v>0</v>
      </c>
      <c r="AE82" s="70">
        <v>0</v>
      </c>
      <c r="AF82" s="70">
        <v>2</v>
      </c>
      <c r="AG82" s="70">
        <v>2</v>
      </c>
      <c r="AH82" s="70">
        <f t="shared" ref="AH82" si="67">(AG82/AF82)*100</f>
        <v>100</v>
      </c>
      <c r="AI82" s="70">
        <v>2</v>
      </c>
      <c r="AJ82" s="70">
        <v>2</v>
      </c>
      <c r="AK82" s="70">
        <f t="shared" ref="AK82" si="68">(AJ82/AI82)*100</f>
        <v>100</v>
      </c>
      <c r="AL82" s="71"/>
      <c r="AM82" s="89"/>
      <c r="AN82" s="84"/>
      <c r="AO82" s="76"/>
      <c r="AP82" s="76"/>
      <c r="AQ82" s="94"/>
    </row>
    <row r="83" spans="1:43" ht="23.1" customHeight="1" x14ac:dyDescent="0.2">
      <c r="A83" s="83" t="s">
        <v>43</v>
      </c>
      <c r="B83" s="70">
        <v>0</v>
      </c>
      <c r="C83" s="70">
        <v>0</v>
      </c>
      <c r="D83" s="70">
        <v>0</v>
      </c>
      <c r="E83" s="70">
        <v>0</v>
      </c>
      <c r="F83" s="70">
        <v>0</v>
      </c>
      <c r="G83" s="70">
        <v>0</v>
      </c>
      <c r="H83" s="70">
        <v>0</v>
      </c>
      <c r="I83" s="70">
        <v>0</v>
      </c>
      <c r="J83" s="70">
        <v>0</v>
      </c>
      <c r="K83" s="70">
        <v>0</v>
      </c>
      <c r="L83" s="70">
        <v>0</v>
      </c>
      <c r="M83" s="70">
        <v>0</v>
      </c>
      <c r="N83" s="70">
        <v>0</v>
      </c>
      <c r="O83" s="70">
        <v>0</v>
      </c>
      <c r="P83" s="70">
        <v>0</v>
      </c>
      <c r="Q83" s="70">
        <v>0</v>
      </c>
      <c r="R83" s="70">
        <v>0</v>
      </c>
      <c r="S83" s="70">
        <v>0</v>
      </c>
      <c r="T83" s="70">
        <v>0</v>
      </c>
      <c r="U83" s="70">
        <v>0</v>
      </c>
      <c r="V83" s="70">
        <v>0</v>
      </c>
      <c r="W83" s="70">
        <v>0</v>
      </c>
      <c r="X83" s="70">
        <v>0</v>
      </c>
      <c r="Y83" s="70">
        <v>0</v>
      </c>
      <c r="Z83" s="70">
        <v>0</v>
      </c>
      <c r="AA83" s="70">
        <v>0</v>
      </c>
      <c r="AB83" s="70">
        <v>0</v>
      </c>
      <c r="AC83" s="70">
        <v>0</v>
      </c>
      <c r="AD83" s="70">
        <v>0</v>
      </c>
      <c r="AE83" s="70">
        <v>0</v>
      </c>
      <c r="AF83" s="70">
        <v>0</v>
      </c>
      <c r="AG83" s="70">
        <v>0</v>
      </c>
      <c r="AH83" s="70">
        <v>0</v>
      </c>
      <c r="AI83" s="70">
        <v>0</v>
      </c>
      <c r="AJ83" s="70">
        <v>0</v>
      </c>
      <c r="AK83" s="70">
        <v>0</v>
      </c>
      <c r="AL83" s="71"/>
      <c r="AM83" s="89"/>
      <c r="AN83" s="84"/>
      <c r="AO83" s="76"/>
      <c r="AP83" s="76"/>
      <c r="AQ83" s="94"/>
    </row>
    <row r="84" spans="1:43" ht="23.1" customHeight="1" x14ac:dyDescent="0.2">
      <c r="A84" s="83" t="s">
        <v>42</v>
      </c>
      <c r="B84" s="70">
        <v>5</v>
      </c>
      <c r="C84" s="70">
        <v>3</v>
      </c>
      <c r="D84" s="70">
        <f t="shared" ref="D84" si="69">(C84/B84)*100</f>
        <v>60</v>
      </c>
      <c r="E84" s="70">
        <v>2</v>
      </c>
      <c r="F84" s="70">
        <v>0</v>
      </c>
      <c r="G84" s="70">
        <v>0</v>
      </c>
      <c r="H84" s="70">
        <v>1</v>
      </c>
      <c r="I84" s="70">
        <v>0</v>
      </c>
      <c r="J84" s="70">
        <v>0</v>
      </c>
      <c r="K84" s="70">
        <v>3</v>
      </c>
      <c r="L84" s="70">
        <v>1</v>
      </c>
      <c r="M84" s="70">
        <f t="shared" ref="M84" si="70">(L84/K84)*100</f>
        <v>33.333333333333329</v>
      </c>
      <c r="N84" s="70">
        <v>0</v>
      </c>
      <c r="O84" s="70">
        <v>0</v>
      </c>
      <c r="P84" s="70">
        <v>0</v>
      </c>
      <c r="Q84" s="70">
        <v>3</v>
      </c>
      <c r="R84" s="70">
        <v>0</v>
      </c>
      <c r="S84" s="70">
        <v>0</v>
      </c>
      <c r="T84" s="70">
        <v>2</v>
      </c>
      <c r="U84" s="70">
        <v>2</v>
      </c>
      <c r="V84" s="70">
        <f t="shared" ref="V84" si="71">(U84/T84)*100</f>
        <v>100</v>
      </c>
      <c r="W84" s="70">
        <v>4</v>
      </c>
      <c r="X84" s="70">
        <v>2</v>
      </c>
      <c r="Y84" s="70">
        <f t="shared" ref="Y84" si="72">(X84/W84)*100</f>
        <v>50</v>
      </c>
      <c r="Z84" s="70">
        <v>0</v>
      </c>
      <c r="AA84" s="70">
        <v>0</v>
      </c>
      <c r="AB84" s="70">
        <v>0</v>
      </c>
      <c r="AC84" s="70">
        <v>1</v>
      </c>
      <c r="AD84" s="70">
        <v>1</v>
      </c>
      <c r="AE84" s="70">
        <f t="shared" ref="AE84" si="73">(AD84/AC84)*100</f>
        <v>100</v>
      </c>
      <c r="AF84" s="70">
        <v>3</v>
      </c>
      <c r="AG84" s="70">
        <v>2</v>
      </c>
      <c r="AH84" s="70">
        <f t="shared" ref="AH84" si="74">(AG84/AF84)*100</f>
        <v>66.666666666666657</v>
      </c>
      <c r="AI84" s="70">
        <v>0</v>
      </c>
      <c r="AJ84" s="70">
        <v>0</v>
      </c>
      <c r="AK84" s="70">
        <v>0</v>
      </c>
      <c r="AL84" s="71"/>
      <c r="AM84" s="89"/>
      <c r="AN84" s="84"/>
      <c r="AO84" s="76"/>
      <c r="AP84" s="76"/>
      <c r="AQ84" s="94"/>
    </row>
    <row r="85" spans="1:43" ht="23.1" customHeight="1" x14ac:dyDescent="0.2">
      <c r="A85" s="69" t="s">
        <v>38</v>
      </c>
      <c r="B85" s="70" t="s">
        <v>37</v>
      </c>
      <c r="C85" s="70" t="s">
        <v>37</v>
      </c>
      <c r="D85" s="70" t="s">
        <v>37</v>
      </c>
      <c r="E85" s="70" t="s">
        <v>37</v>
      </c>
      <c r="F85" s="70" t="s">
        <v>37</v>
      </c>
      <c r="G85" s="70" t="s">
        <v>37</v>
      </c>
      <c r="H85" s="70" t="s">
        <v>37</v>
      </c>
      <c r="I85" s="70" t="s">
        <v>37</v>
      </c>
      <c r="J85" s="70" t="s">
        <v>37</v>
      </c>
      <c r="K85" s="70" t="s">
        <v>37</v>
      </c>
      <c r="L85" s="70" t="s">
        <v>37</v>
      </c>
      <c r="M85" s="70" t="s">
        <v>37</v>
      </c>
      <c r="N85" s="70" t="s">
        <v>37</v>
      </c>
      <c r="O85" s="70" t="s">
        <v>37</v>
      </c>
      <c r="P85" s="70" t="s">
        <v>37</v>
      </c>
      <c r="Q85" s="70" t="s">
        <v>37</v>
      </c>
      <c r="R85" s="70" t="s">
        <v>37</v>
      </c>
      <c r="S85" s="70" t="s">
        <v>37</v>
      </c>
      <c r="T85" s="70" t="s">
        <v>37</v>
      </c>
      <c r="U85" s="70" t="s">
        <v>37</v>
      </c>
      <c r="V85" s="70" t="s">
        <v>37</v>
      </c>
      <c r="W85" s="70" t="s">
        <v>37</v>
      </c>
      <c r="X85" s="70" t="s">
        <v>37</v>
      </c>
      <c r="Y85" s="70" t="s">
        <v>37</v>
      </c>
      <c r="Z85" s="70" t="s">
        <v>37</v>
      </c>
      <c r="AA85" s="70" t="s">
        <v>37</v>
      </c>
      <c r="AB85" s="70" t="s">
        <v>37</v>
      </c>
      <c r="AC85" s="70" t="s">
        <v>37</v>
      </c>
      <c r="AD85" s="70" t="s">
        <v>37</v>
      </c>
      <c r="AE85" s="70" t="s">
        <v>37</v>
      </c>
      <c r="AF85" s="70" t="s">
        <v>37</v>
      </c>
      <c r="AG85" s="70" t="s">
        <v>37</v>
      </c>
      <c r="AH85" s="70" t="s">
        <v>37</v>
      </c>
      <c r="AI85" s="70" t="s">
        <v>37</v>
      </c>
      <c r="AJ85" s="70" t="s">
        <v>37</v>
      </c>
      <c r="AK85" s="70" t="s">
        <v>37</v>
      </c>
      <c r="AL85" s="71"/>
      <c r="AM85" s="89"/>
      <c r="AN85" s="84"/>
      <c r="AO85" s="76"/>
      <c r="AP85" s="76"/>
      <c r="AQ85" s="76"/>
    </row>
    <row r="86" spans="1:43" x14ac:dyDescent="0.2">
      <c r="B86" s="79">
        <f>SUM(B59:B85)</f>
        <v>297</v>
      </c>
      <c r="C86" s="79">
        <f>SUM(C59:C85)</f>
        <v>185</v>
      </c>
      <c r="D86" s="80">
        <f>(C86/B86)*100</f>
        <v>62.289562289562298</v>
      </c>
      <c r="E86" s="79">
        <f>SUM(E59:E85)</f>
        <v>285</v>
      </c>
      <c r="F86" s="81">
        <f>SUM(F59:F85)</f>
        <v>167</v>
      </c>
      <c r="G86" s="80">
        <f>(F86/E86)*100</f>
        <v>58.596491228070178</v>
      </c>
      <c r="H86" s="79">
        <f>SUM(H59:H85)</f>
        <v>93</v>
      </c>
      <c r="I86" s="81">
        <f>SUM(I59:I85)</f>
        <v>48</v>
      </c>
      <c r="J86" s="80">
        <f>(I86/H86)*100</f>
        <v>51.612903225806448</v>
      </c>
      <c r="K86" s="79">
        <f>SUM(K59:K85)</f>
        <v>80</v>
      </c>
      <c r="L86" s="81">
        <f>SUM(L59:L85)</f>
        <v>50</v>
      </c>
      <c r="M86" s="80">
        <f>(L86/K86)*100</f>
        <v>62.5</v>
      </c>
      <c r="N86" s="79">
        <f>SUM(N59:N85)</f>
        <v>224</v>
      </c>
      <c r="O86" s="81">
        <f>SUM(O59:O85)</f>
        <v>154</v>
      </c>
      <c r="P86" s="80">
        <f>(O86/N86)*100</f>
        <v>68.75</v>
      </c>
      <c r="Q86" s="79">
        <f>SUM(Q59:Q85)</f>
        <v>279</v>
      </c>
      <c r="R86" s="81">
        <f>SUM(R59:R85)</f>
        <v>186</v>
      </c>
      <c r="S86" s="80">
        <f>(R86/Q86)*100</f>
        <v>66.666666666666657</v>
      </c>
      <c r="T86" s="79">
        <f>SUM(T59:T85)</f>
        <v>183</v>
      </c>
      <c r="U86" s="81">
        <f>SUM(U59:U85)</f>
        <v>116</v>
      </c>
      <c r="V86" s="80">
        <f>(U86/T86)*100</f>
        <v>63.387978142076506</v>
      </c>
      <c r="W86" s="79">
        <f>SUM(W59:W85)</f>
        <v>163</v>
      </c>
      <c r="X86" s="81">
        <f>SUM(X59:X85)</f>
        <v>95</v>
      </c>
      <c r="Y86" s="80">
        <f>(X86/W86)*100</f>
        <v>58.282208588957054</v>
      </c>
      <c r="Z86" s="79">
        <f>SUM(Z59:Z85)</f>
        <v>73</v>
      </c>
      <c r="AA86" s="81">
        <f>SUM(AA59:AA85)</f>
        <v>45</v>
      </c>
      <c r="AB86" s="80">
        <f>(AA86/Z86)*100</f>
        <v>61.643835616438359</v>
      </c>
      <c r="AC86" s="79">
        <f>SUM(AC59:AC85)</f>
        <v>107</v>
      </c>
      <c r="AD86" s="81">
        <f>SUM(AD59:AD85)</f>
        <v>54</v>
      </c>
      <c r="AE86" s="80">
        <f>(AD86/AC86)*100</f>
        <v>50.467289719626166</v>
      </c>
      <c r="AF86" s="79">
        <f>SUM(AF59:AF85)</f>
        <v>79</v>
      </c>
      <c r="AG86" s="81">
        <f>SUM(AG59:AG85)</f>
        <v>44</v>
      </c>
      <c r="AH86" s="80">
        <f>(AG86/AF86)*100</f>
        <v>55.696202531645568</v>
      </c>
      <c r="AI86" s="79">
        <f>SUM(AI59:AI85)</f>
        <v>97</v>
      </c>
      <c r="AJ86" s="81">
        <f>SUM(AJ59:AJ85)</f>
        <v>68</v>
      </c>
      <c r="AK86" s="80">
        <f>(AJ86/AI86)*100</f>
        <v>70.103092783505147</v>
      </c>
      <c r="AL86" s="71"/>
      <c r="AM86" s="89"/>
      <c r="AN86" s="84"/>
      <c r="AO86" s="76"/>
      <c r="AP86" s="76"/>
      <c r="AQ86" s="76"/>
    </row>
    <row r="87" spans="1:43" x14ac:dyDescent="0.2">
      <c r="AM87" s="76"/>
      <c r="AN87" s="76"/>
      <c r="AO87" s="76"/>
      <c r="AP87" s="76"/>
      <c r="AQ87" s="76"/>
    </row>
  </sheetData>
  <mergeCells count="26">
    <mergeCell ref="AI57:AK57"/>
    <mergeCell ref="Z11:AB11"/>
    <mergeCell ref="AC11:AE11"/>
    <mergeCell ref="A55:AK56"/>
    <mergeCell ref="A57:A58"/>
    <mergeCell ref="B57:D57"/>
    <mergeCell ref="E57:G57"/>
    <mergeCell ref="H57:J57"/>
    <mergeCell ref="K57:M57"/>
    <mergeCell ref="N57:P57"/>
    <mergeCell ref="Q57:S57"/>
    <mergeCell ref="T57:V57"/>
    <mergeCell ref="W57:Y57"/>
    <mergeCell ref="Z57:AB57"/>
    <mergeCell ref="AC57:AE57"/>
    <mergeCell ref="AF57:AH57"/>
    <mergeCell ref="A9:AE10"/>
    <mergeCell ref="A11:A12"/>
    <mergeCell ref="B11:D11"/>
    <mergeCell ref="E11:G11"/>
    <mergeCell ref="H11:J11"/>
    <mergeCell ref="K11:M11"/>
    <mergeCell ref="N11:P11"/>
    <mergeCell ref="Q11:S11"/>
    <mergeCell ref="T11:V11"/>
    <mergeCell ref="W11:Y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08"/>
  <sheetViews>
    <sheetView zoomScaleNormal="100" workbookViewId="0">
      <selection activeCell="H16" sqref="H16"/>
    </sheetView>
  </sheetViews>
  <sheetFormatPr baseColWidth="10" defaultRowHeight="15" x14ac:dyDescent="0.25"/>
  <cols>
    <col min="1" max="1" width="35.85546875" style="41" customWidth="1"/>
    <col min="2" max="16384" width="11.42578125" style="41"/>
  </cols>
  <sheetData>
    <row r="5" spans="1:5" ht="21" x14ac:dyDescent="0.35">
      <c r="A5" s="114" t="s">
        <v>241</v>
      </c>
    </row>
    <row r="7" spans="1:5" ht="63.75" x14ac:dyDescent="0.25">
      <c r="A7" s="97" t="s">
        <v>240</v>
      </c>
      <c r="B7" s="96" t="s">
        <v>239</v>
      </c>
      <c r="C7" s="96" t="s">
        <v>238</v>
      </c>
      <c r="D7" s="96" t="s">
        <v>237</v>
      </c>
      <c r="E7" s="96" t="s">
        <v>236</v>
      </c>
    </row>
    <row r="8" spans="1:5" x14ac:dyDescent="0.25">
      <c r="A8" s="98" t="s">
        <v>235</v>
      </c>
      <c r="B8" s="99">
        <f>48+66+72</f>
        <v>186</v>
      </c>
      <c r="C8" s="99">
        <f>2+5+1</f>
        <v>8</v>
      </c>
      <c r="D8" s="99">
        <f>27+34+38</f>
        <v>99</v>
      </c>
      <c r="E8" s="99">
        <f>19+27+33</f>
        <v>79</v>
      </c>
    </row>
    <row r="9" spans="1:5" x14ac:dyDescent="0.25">
      <c r="A9" s="98" t="s">
        <v>234</v>
      </c>
      <c r="B9" s="99">
        <f>10+4+5+4+8+17</f>
        <v>48</v>
      </c>
      <c r="C9" s="99">
        <f>1+1</f>
        <v>2</v>
      </c>
      <c r="D9" s="99">
        <f>2+2+1+2+4+8</f>
        <v>19</v>
      </c>
      <c r="E9" s="99">
        <f>8+2+3+2+4+8</f>
        <v>27</v>
      </c>
    </row>
    <row r="10" spans="1:5" x14ac:dyDescent="0.25">
      <c r="A10" s="98" t="s">
        <v>233</v>
      </c>
      <c r="B10" s="99">
        <f>SUM(C10:E10)</f>
        <v>496</v>
      </c>
      <c r="C10" s="99">
        <f>9+16+3+15+3+9</f>
        <v>55</v>
      </c>
      <c r="D10" s="99">
        <f>52+34+43+39+10+25</f>
        <v>203</v>
      </c>
      <c r="E10" s="99">
        <f>45+23+80+52+15+23</f>
        <v>238</v>
      </c>
    </row>
    <row r="11" spans="1:5" x14ac:dyDescent="0.25">
      <c r="A11" s="98" t="s">
        <v>232</v>
      </c>
      <c r="B11" s="99">
        <v>24</v>
      </c>
      <c r="C11" s="99">
        <v>1</v>
      </c>
      <c r="D11" s="99">
        <v>9</v>
      </c>
      <c r="E11" s="99">
        <v>14</v>
      </c>
    </row>
    <row r="12" spans="1:5" x14ac:dyDescent="0.25">
      <c r="A12" s="98" t="s">
        <v>231</v>
      </c>
      <c r="B12" s="99">
        <f>32+28+25+2+1+1</f>
        <v>89</v>
      </c>
      <c r="C12" s="99">
        <v>0</v>
      </c>
      <c r="D12" s="99">
        <v>27</v>
      </c>
      <c r="E12" s="99">
        <f>21+16+23+2</f>
        <v>62</v>
      </c>
    </row>
    <row r="13" spans="1:5" x14ac:dyDescent="0.25">
      <c r="A13" s="98" t="s">
        <v>230</v>
      </c>
      <c r="B13" s="99">
        <v>7</v>
      </c>
      <c r="C13" s="99">
        <v>0</v>
      </c>
      <c r="D13" s="99">
        <v>2</v>
      </c>
      <c r="E13" s="99">
        <v>5</v>
      </c>
    </row>
    <row r="14" spans="1:5" x14ac:dyDescent="0.25">
      <c r="A14" s="98" t="s">
        <v>229</v>
      </c>
      <c r="B14" s="99">
        <v>4</v>
      </c>
      <c r="C14" s="99">
        <v>0</v>
      </c>
      <c r="D14" s="99">
        <v>2</v>
      </c>
      <c r="E14" s="99">
        <v>2</v>
      </c>
    </row>
    <row r="15" spans="1:5" x14ac:dyDescent="0.25">
      <c r="A15" s="98" t="s">
        <v>228</v>
      </c>
      <c r="B15" s="99">
        <f>23+43+19+12+9+19</f>
        <v>125</v>
      </c>
      <c r="C15" s="99">
        <f>3+3</f>
        <v>6</v>
      </c>
      <c r="D15" s="99">
        <v>26</v>
      </c>
      <c r="E15" s="99">
        <f>20+30+15+12+7+9</f>
        <v>93</v>
      </c>
    </row>
    <row r="16" spans="1:5" x14ac:dyDescent="0.25">
      <c r="A16" s="98" t="s">
        <v>227</v>
      </c>
      <c r="B16" s="99">
        <f>148+191+179+142+179+101</f>
        <v>940</v>
      </c>
      <c r="C16" s="99">
        <f>2+3+3+2+15+17</f>
        <v>42</v>
      </c>
      <c r="D16" s="99">
        <f>35+60+64+40+88+45</f>
        <v>332</v>
      </c>
      <c r="E16" s="99">
        <f>111+128+112+100+76+39</f>
        <v>566</v>
      </c>
    </row>
    <row r="17" spans="1:5" x14ac:dyDescent="0.25">
      <c r="A17" s="98" t="s">
        <v>226</v>
      </c>
      <c r="B17" s="100">
        <v>732</v>
      </c>
      <c r="C17" s="100">
        <v>203</v>
      </c>
      <c r="D17" s="99">
        <f>66+79+68+50+63</f>
        <v>326</v>
      </c>
      <c r="E17" s="99">
        <f>41+37+57+45+23</f>
        <v>203</v>
      </c>
    </row>
    <row r="18" spans="1:5" x14ac:dyDescent="0.25">
      <c r="A18" s="98" t="s">
        <v>225</v>
      </c>
      <c r="B18" s="99">
        <f>123+138+130+103+105+76</f>
        <v>675</v>
      </c>
      <c r="C18" s="99">
        <f>1+5+1+1+1+3</f>
        <v>12</v>
      </c>
      <c r="D18" s="99">
        <f>21+80+54+44+51+43</f>
        <v>293</v>
      </c>
      <c r="E18" s="99">
        <f>101+53+75+58+53+30</f>
        <v>370</v>
      </c>
    </row>
    <row r="19" spans="1:5" x14ac:dyDescent="0.25">
      <c r="A19" s="98" t="s">
        <v>224</v>
      </c>
      <c r="B19" s="99">
        <f>28</f>
        <v>28</v>
      </c>
      <c r="C19" s="100">
        <v>7</v>
      </c>
      <c r="D19" s="100">
        <v>1</v>
      </c>
      <c r="E19" s="99">
        <v>20</v>
      </c>
    </row>
    <row r="20" spans="1:5" x14ac:dyDescent="0.25">
      <c r="A20" s="98" t="s">
        <v>223</v>
      </c>
      <c r="B20" s="99">
        <f>16+9+92+34+25+23</f>
        <v>199</v>
      </c>
      <c r="C20" s="99">
        <f>24+4+4</f>
        <v>32</v>
      </c>
      <c r="D20" s="99">
        <f>1+2+51+16+15+16</f>
        <v>101</v>
      </c>
      <c r="E20" s="99">
        <f>15+7+17+14+10+3</f>
        <v>66</v>
      </c>
    </row>
    <row r="21" spans="1:5" x14ac:dyDescent="0.25">
      <c r="A21" s="98" t="s">
        <v>222</v>
      </c>
      <c r="B21" s="100">
        <f>30+19+49</f>
        <v>98</v>
      </c>
      <c r="C21" s="100">
        <f>4+1+3</f>
        <v>8</v>
      </c>
      <c r="D21" s="100">
        <f>12+10+32</f>
        <v>54</v>
      </c>
      <c r="E21" s="100">
        <f>14+8+14</f>
        <v>36</v>
      </c>
    </row>
    <row r="22" spans="1:5" x14ac:dyDescent="0.25">
      <c r="A22" s="98" t="s">
        <v>221</v>
      </c>
      <c r="B22" s="99">
        <f>89+106+70+17+12+27</f>
        <v>321</v>
      </c>
      <c r="C22" s="99">
        <v>5</v>
      </c>
      <c r="D22" s="99">
        <f>20+11+16+3+4+12</f>
        <v>66</v>
      </c>
      <c r="E22" s="99">
        <f>69+95+54+12+8+12</f>
        <v>250</v>
      </c>
    </row>
    <row r="23" spans="1:5" x14ac:dyDescent="0.25">
      <c r="A23" s="98" t="s">
        <v>220</v>
      </c>
      <c r="B23" s="99">
        <f>85+66+41+5+83</f>
        <v>280</v>
      </c>
      <c r="C23" s="99">
        <f>0+3+2+2+0+10</f>
        <v>17</v>
      </c>
      <c r="D23" s="99">
        <f>0+60+39+24+1+61</f>
        <v>185</v>
      </c>
      <c r="E23" s="99">
        <f>0+22+25+15+4+12</f>
        <v>78</v>
      </c>
    </row>
    <row r="24" spans="1:5" x14ac:dyDescent="0.25">
      <c r="A24" s="98" t="s">
        <v>219</v>
      </c>
      <c r="B24" s="99">
        <f>174+140+177+165+159+127</f>
        <v>942</v>
      </c>
      <c r="C24" s="99">
        <f>8+14+4+2+1+3</f>
        <v>32</v>
      </c>
      <c r="D24" s="99">
        <f>47+90+76+67+69+69</f>
        <v>418</v>
      </c>
      <c r="E24" s="99">
        <f>119+36+97+96+89+55</f>
        <v>492</v>
      </c>
    </row>
    <row r="25" spans="1:5" x14ac:dyDescent="0.25">
      <c r="A25" s="98" t="s">
        <v>218</v>
      </c>
      <c r="B25" s="100">
        <v>1</v>
      </c>
      <c r="C25" s="99">
        <v>0</v>
      </c>
      <c r="D25" s="99">
        <v>0</v>
      </c>
      <c r="E25" s="100">
        <v>1</v>
      </c>
    </row>
    <row r="26" spans="1:5" x14ac:dyDescent="0.25">
      <c r="A26" s="98" t="s">
        <v>217</v>
      </c>
      <c r="B26" s="99">
        <f>5+3+22+38+14+29</f>
        <v>111</v>
      </c>
      <c r="C26" s="99">
        <f>0+0+3+1+0+3</f>
        <v>7</v>
      </c>
      <c r="D26" s="99">
        <f>0+0+16+22+6+21</f>
        <v>65</v>
      </c>
      <c r="E26" s="99">
        <f>5+3+3+15+8+5</f>
        <v>39</v>
      </c>
    </row>
    <row r="27" spans="1:5" x14ac:dyDescent="0.25">
      <c r="A27" s="98" t="s">
        <v>216</v>
      </c>
      <c r="B27" s="100">
        <f>118+42+44</f>
        <v>204</v>
      </c>
      <c r="C27" s="100">
        <v>3</v>
      </c>
      <c r="D27" s="100">
        <f>57+18+30</f>
        <v>105</v>
      </c>
      <c r="E27" s="100">
        <f>59+23+14</f>
        <v>96</v>
      </c>
    </row>
    <row r="28" spans="1:5" x14ac:dyDescent="0.25">
      <c r="A28" s="98" t="s">
        <v>215</v>
      </c>
      <c r="B28" s="99">
        <f>84+85+98+27+5+5</f>
        <v>304</v>
      </c>
      <c r="C28" s="99">
        <f>1+1+0+1+1+0</f>
        <v>4</v>
      </c>
      <c r="D28" s="99">
        <f>17+21+32+12+2+2</f>
        <v>86</v>
      </c>
      <c r="E28" s="99">
        <f>66+63+66+14+2+3</f>
        <v>214</v>
      </c>
    </row>
    <row r="29" spans="1:5" x14ac:dyDescent="0.25">
      <c r="A29" s="98" t="s">
        <v>214</v>
      </c>
      <c r="B29" s="99">
        <f>115+7+1</f>
        <v>123</v>
      </c>
      <c r="C29" s="99">
        <f>0+6+0+0+0+0</f>
        <v>6</v>
      </c>
      <c r="D29" s="99">
        <f>63+5+0+0+0</f>
        <v>68</v>
      </c>
      <c r="E29" s="99">
        <f>46+2+0+1</f>
        <v>49</v>
      </c>
    </row>
    <row r="30" spans="1:5" x14ac:dyDescent="0.25">
      <c r="A30" s="98" t="s">
        <v>213</v>
      </c>
      <c r="B30" s="100">
        <f>104+101+131+151+67+21</f>
        <v>575</v>
      </c>
      <c r="C30" s="99">
        <f>0+4+0+0+1+0</f>
        <v>5</v>
      </c>
      <c r="D30" s="99">
        <f>23+64+50+73+22+7</f>
        <v>239</v>
      </c>
      <c r="E30" s="99">
        <f>81+33+81+78+44+14</f>
        <v>331</v>
      </c>
    </row>
    <row r="31" spans="1:5" x14ac:dyDescent="0.25">
      <c r="A31" s="98" t="s">
        <v>212</v>
      </c>
      <c r="B31" s="99">
        <v>0</v>
      </c>
      <c r="C31" s="99">
        <v>0</v>
      </c>
      <c r="D31" s="99">
        <v>0</v>
      </c>
      <c r="E31" s="99">
        <v>0</v>
      </c>
    </row>
    <row r="32" spans="1:5" x14ac:dyDescent="0.25">
      <c r="A32" s="98" t="s">
        <v>211</v>
      </c>
      <c r="B32" s="99">
        <v>49</v>
      </c>
      <c r="C32" s="99">
        <v>0</v>
      </c>
      <c r="D32" s="99">
        <v>21</v>
      </c>
      <c r="E32" s="99">
        <v>28</v>
      </c>
    </row>
    <row r="33" spans="1:5" x14ac:dyDescent="0.25">
      <c r="A33" s="98" t="s">
        <v>210</v>
      </c>
      <c r="B33" s="100">
        <v>0</v>
      </c>
      <c r="C33" s="99">
        <v>0</v>
      </c>
      <c r="D33" s="99">
        <v>0</v>
      </c>
      <c r="E33" s="100">
        <v>0</v>
      </c>
    </row>
    <row r="34" spans="1:5" x14ac:dyDescent="0.25">
      <c r="A34" s="98" t="s">
        <v>209</v>
      </c>
      <c r="B34" s="99">
        <v>0</v>
      </c>
      <c r="C34" s="99">
        <v>0</v>
      </c>
      <c r="D34" s="99">
        <v>0</v>
      </c>
      <c r="E34" s="99">
        <v>0</v>
      </c>
    </row>
    <row r="35" spans="1:5" x14ac:dyDescent="0.25">
      <c r="A35" s="98" t="s">
        <v>208</v>
      </c>
      <c r="B35" s="99">
        <f>38+40+33+6+4+0</f>
        <v>121</v>
      </c>
      <c r="C35" s="99">
        <v>2</v>
      </c>
      <c r="D35" s="99">
        <f>6+13+8+2+1</f>
        <v>30</v>
      </c>
      <c r="E35" s="99">
        <f>32+27+23+4+3</f>
        <v>89</v>
      </c>
    </row>
    <row r="36" spans="1:5" x14ac:dyDescent="0.25">
      <c r="A36" s="98" t="s">
        <v>207</v>
      </c>
      <c r="B36" s="99">
        <f>5+6+4+2+4</f>
        <v>21</v>
      </c>
      <c r="C36" s="99">
        <v>2</v>
      </c>
      <c r="D36" s="99">
        <v>6</v>
      </c>
      <c r="E36" s="99">
        <v>13</v>
      </c>
    </row>
    <row r="37" spans="1:5" x14ac:dyDescent="0.25">
      <c r="A37" s="98" t="s">
        <v>206</v>
      </c>
      <c r="B37" s="99">
        <f>76+62+81+90+71+37</f>
        <v>417</v>
      </c>
      <c r="C37" s="99">
        <f>2+4+3+2+2</f>
        <v>13</v>
      </c>
      <c r="D37" s="99">
        <f>24+35+27+42+44+29</f>
        <v>201</v>
      </c>
      <c r="E37" s="99">
        <f>50+23+51+46+25+8</f>
        <v>203</v>
      </c>
    </row>
    <row r="38" spans="1:5" x14ac:dyDescent="0.25">
      <c r="A38" s="98" t="s">
        <v>205</v>
      </c>
      <c r="B38" s="99">
        <f>35+36+41+40+22+23</f>
        <v>197</v>
      </c>
      <c r="C38" s="99">
        <f>4+8+12+11+3+0</f>
        <v>38</v>
      </c>
      <c r="D38" s="99">
        <f>18+22+22+19+12+10</f>
        <v>103</v>
      </c>
      <c r="E38" s="99">
        <f>13+6+7+10+7+13</f>
        <v>56</v>
      </c>
    </row>
    <row r="39" spans="1:5" x14ac:dyDescent="0.25">
      <c r="A39" s="101" t="s">
        <v>204</v>
      </c>
      <c r="B39" s="102">
        <f>131+136+83+93+64+44</f>
        <v>551</v>
      </c>
      <c r="C39" s="102">
        <f>33+26+31+23+16+4</f>
        <v>133</v>
      </c>
      <c r="D39" s="102">
        <f>66+64+36+52+32+24</f>
        <v>274</v>
      </c>
      <c r="E39" s="102">
        <f>32+46+16+18+16+16</f>
        <v>144</v>
      </c>
    </row>
    <row r="40" spans="1:5" x14ac:dyDescent="0.25">
      <c r="A40" s="101" t="s">
        <v>203</v>
      </c>
      <c r="B40" s="102">
        <f>203+194+101+77+78+70</f>
        <v>723</v>
      </c>
      <c r="C40" s="102">
        <f>38+35+21+11+2+5</f>
        <v>112</v>
      </c>
      <c r="D40" s="102">
        <f>122+128+62+38+43+37</f>
        <v>430</v>
      </c>
      <c r="E40" s="102">
        <f>43+31+18+28+33+28</f>
        <v>181</v>
      </c>
    </row>
    <row r="41" spans="1:5" x14ac:dyDescent="0.25">
      <c r="A41" s="101" t="s">
        <v>202</v>
      </c>
      <c r="B41" s="103">
        <f>42+7+2+8+7+18</f>
        <v>84</v>
      </c>
      <c r="C41" s="103">
        <f>6+1+2+1+1</f>
        <v>11</v>
      </c>
      <c r="D41" s="103">
        <f>23+6+1+7</f>
        <v>37</v>
      </c>
      <c r="E41" s="103">
        <f>13+1+1+5+6+10</f>
        <v>36</v>
      </c>
    </row>
    <row r="42" spans="1:5" x14ac:dyDescent="0.25">
      <c r="A42" s="101" t="s">
        <v>201</v>
      </c>
      <c r="B42" s="103" t="s">
        <v>37</v>
      </c>
      <c r="C42" s="103" t="s">
        <v>37</v>
      </c>
      <c r="D42" s="103" t="s">
        <v>37</v>
      </c>
      <c r="E42" s="103">
        <v>0</v>
      </c>
    </row>
    <row r="43" spans="1:5" x14ac:dyDescent="0.25">
      <c r="A43" s="101" t="s">
        <v>200</v>
      </c>
      <c r="B43" s="103">
        <f>24+41+41+26+41+38</f>
        <v>211</v>
      </c>
      <c r="C43" s="104">
        <f>20+26+10+7+10</f>
        <v>73</v>
      </c>
      <c r="D43" s="103">
        <f>9+18+15+13+29+23</f>
        <v>107</v>
      </c>
      <c r="E43" s="103">
        <f>15+3+3+5+5</f>
        <v>31</v>
      </c>
    </row>
    <row r="44" spans="1:5" x14ac:dyDescent="0.25">
      <c r="A44" s="101" t="s">
        <v>199</v>
      </c>
      <c r="B44" s="103">
        <v>0</v>
      </c>
      <c r="C44" s="103">
        <v>0</v>
      </c>
      <c r="D44" s="103">
        <v>0</v>
      </c>
      <c r="E44" s="103">
        <v>0</v>
      </c>
    </row>
    <row r="45" spans="1:5" x14ac:dyDescent="0.25">
      <c r="A45" s="101" t="s">
        <v>198</v>
      </c>
      <c r="B45" s="103">
        <v>723</v>
      </c>
      <c r="C45" s="103">
        <v>112</v>
      </c>
      <c r="D45" s="103">
        <v>430</v>
      </c>
      <c r="E45" s="103">
        <v>181</v>
      </c>
    </row>
    <row r="46" spans="1:5" x14ac:dyDescent="0.25">
      <c r="A46" s="101" t="s">
        <v>197</v>
      </c>
      <c r="B46" s="103">
        <f>2+2+7+38+18</f>
        <v>67</v>
      </c>
      <c r="C46" s="103">
        <f>1+3</f>
        <v>4</v>
      </c>
      <c r="D46" s="103">
        <f>1+5+9+11</f>
        <v>26</v>
      </c>
      <c r="E46" s="103">
        <f>2+1+2+28+4</f>
        <v>37</v>
      </c>
    </row>
    <row r="47" spans="1:5" x14ac:dyDescent="0.25">
      <c r="A47" s="101" t="s">
        <v>196</v>
      </c>
      <c r="B47" s="103">
        <v>0</v>
      </c>
      <c r="C47" s="103">
        <v>0</v>
      </c>
      <c r="D47" s="103">
        <v>0</v>
      </c>
      <c r="E47" s="103">
        <v>0</v>
      </c>
    </row>
    <row r="48" spans="1:5" x14ac:dyDescent="0.25">
      <c r="A48" s="101" t="s">
        <v>195</v>
      </c>
      <c r="B48" s="103">
        <v>0</v>
      </c>
      <c r="C48" s="103">
        <v>0</v>
      </c>
      <c r="D48" s="103">
        <v>0</v>
      </c>
      <c r="E48" s="103">
        <v>0</v>
      </c>
    </row>
    <row r="49" spans="1:5" x14ac:dyDescent="0.25">
      <c r="A49" s="101" t="s">
        <v>194</v>
      </c>
      <c r="B49" s="103">
        <f>34+57+26+34+41+37</f>
        <v>229</v>
      </c>
      <c r="C49" s="103">
        <f>6+24+14+15+9+15</f>
        <v>83</v>
      </c>
      <c r="D49" s="103">
        <f>23+27+10+17+24+19</f>
        <v>120</v>
      </c>
      <c r="E49" s="103">
        <f>5+6+2+2+8+3</f>
        <v>26</v>
      </c>
    </row>
    <row r="50" spans="1:5" x14ac:dyDescent="0.25">
      <c r="A50" s="101" t="s">
        <v>193</v>
      </c>
      <c r="B50" s="103">
        <f>38+25+4+4+17+18</f>
        <v>106</v>
      </c>
      <c r="C50" s="105">
        <f>10+1+2+0+2+3</f>
        <v>18</v>
      </c>
      <c r="D50" s="103">
        <f>15+13+3+12+8</f>
        <v>51</v>
      </c>
      <c r="E50" s="103">
        <f>13+11+2+1+3+7</f>
        <v>37</v>
      </c>
    </row>
    <row r="51" spans="1:5" x14ac:dyDescent="0.25">
      <c r="A51" s="101" t="s">
        <v>192</v>
      </c>
      <c r="B51" s="103">
        <v>96</v>
      </c>
      <c r="C51" s="103">
        <v>36</v>
      </c>
      <c r="D51" s="103">
        <v>52</v>
      </c>
      <c r="E51" s="103">
        <v>8</v>
      </c>
    </row>
    <row r="52" spans="1:5" x14ac:dyDescent="0.25">
      <c r="A52" s="106" t="s">
        <v>191</v>
      </c>
      <c r="B52" s="103">
        <f>137+53+21+15+22+16</f>
        <v>264</v>
      </c>
      <c r="C52" s="103">
        <f>14+3+1+1+1+1</f>
        <v>21</v>
      </c>
      <c r="D52" s="103">
        <f>79+31+14+10+6+7</f>
        <v>147</v>
      </c>
      <c r="E52" s="103">
        <f>44+19+6+4+15+8</f>
        <v>96</v>
      </c>
    </row>
    <row r="53" spans="1:5" x14ac:dyDescent="0.25">
      <c r="A53" s="106" t="s">
        <v>190</v>
      </c>
      <c r="B53" s="103">
        <f>102+25+13+7+7+11</f>
        <v>165</v>
      </c>
      <c r="C53" s="103">
        <f>1+2+1</f>
        <v>4</v>
      </c>
      <c r="D53" s="103">
        <f>29+11+8+3+4+5</f>
        <v>60</v>
      </c>
      <c r="E53" s="103">
        <f>73+13+5+4+1+5</f>
        <v>101</v>
      </c>
    </row>
    <row r="54" spans="1:5" x14ac:dyDescent="0.25">
      <c r="A54" s="106" t="s">
        <v>189</v>
      </c>
      <c r="B54" s="103">
        <f>137+148+106+77+33+105</f>
        <v>606</v>
      </c>
      <c r="C54" s="103">
        <f>24+25+31+9+1+12</f>
        <v>102</v>
      </c>
      <c r="D54" s="103">
        <f>66+67+45+46+21+57</f>
        <v>302</v>
      </c>
      <c r="E54" s="103">
        <f>47+56+30+22+11+36</f>
        <v>202</v>
      </c>
    </row>
    <row r="55" spans="1:5" x14ac:dyDescent="0.25">
      <c r="A55" s="106" t="s">
        <v>188</v>
      </c>
      <c r="B55" s="103">
        <f>10+2+17+2+3</f>
        <v>34</v>
      </c>
      <c r="C55" s="103">
        <f>2+2+1+1</f>
        <v>6</v>
      </c>
      <c r="D55" s="103">
        <f>8+2+9+1+2</f>
        <v>22</v>
      </c>
      <c r="E55" s="103">
        <f>6</f>
        <v>6</v>
      </c>
    </row>
    <row r="56" spans="1:5" x14ac:dyDescent="0.25">
      <c r="A56" s="106" t="s">
        <v>187</v>
      </c>
      <c r="B56" s="103">
        <f>26+31+20+28+26+30</f>
        <v>161</v>
      </c>
      <c r="C56" s="103">
        <f>4+1+5+4+2+6</f>
        <v>22</v>
      </c>
      <c r="D56" s="103">
        <f>18+22+13+17+14+17</f>
        <v>101</v>
      </c>
      <c r="E56" s="103">
        <f>4+8+2+7+10+7</f>
        <v>38</v>
      </c>
    </row>
    <row r="57" spans="1:5" x14ac:dyDescent="0.25">
      <c r="A57" s="106" t="s">
        <v>186</v>
      </c>
      <c r="B57" s="103">
        <f>134+63+34+21+23+52</f>
        <v>327</v>
      </c>
      <c r="C57" s="103">
        <f>4+4+5+3+2+6</f>
        <v>24</v>
      </c>
      <c r="D57" s="103">
        <f>48+24+18+10+13+29</f>
        <v>142</v>
      </c>
      <c r="E57" s="103">
        <f>82+35+11+8+8+17</f>
        <v>161</v>
      </c>
    </row>
    <row r="58" spans="1:5" x14ac:dyDescent="0.25">
      <c r="A58" s="107" t="s">
        <v>185</v>
      </c>
      <c r="B58" s="108">
        <f>101+6+5+1+2+5</f>
        <v>120</v>
      </c>
      <c r="C58" s="108">
        <f>18</f>
        <v>18</v>
      </c>
      <c r="D58" s="108">
        <f>54+2+3+1+1</f>
        <v>61</v>
      </c>
      <c r="E58" s="108">
        <f>29+4+2+1+1+4</f>
        <v>41</v>
      </c>
    </row>
    <row r="59" spans="1:5" x14ac:dyDescent="0.25">
      <c r="A59" s="107" t="s">
        <v>184</v>
      </c>
      <c r="B59" s="108">
        <f>13+3+1</f>
        <v>17</v>
      </c>
      <c r="C59" s="108">
        <v>1</v>
      </c>
      <c r="D59" s="108">
        <v>13</v>
      </c>
      <c r="E59" s="108">
        <v>3</v>
      </c>
    </row>
    <row r="60" spans="1:5" x14ac:dyDescent="0.25">
      <c r="A60" s="107" t="s">
        <v>183</v>
      </c>
      <c r="B60" s="108">
        <f>259+36+12+3+3+8</f>
        <v>321</v>
      </c>
      <c r="C60" s="108">
        <v>6</v>
      </c>
      <c r="D60" s="108">
        <f>75+11+2+1+1+3</f>
        <v>93</v>
      </c>
      <c r="E60" s="108">
        <f>180+25+10+1+2+4</f>
        <v>222</v>
      </c>
    </row>
    <row r="61" spans="1:5" x14ac:dyDescent="0.25">
      <c r="A61" s="107" t="s">
        <v>182</v>
      </c>
      <c r="B61" s="108">
        <f>31+9+2+3</f>
        <v>45</v>
      </c>
      <c r="C61" s="108">
        <v>3</v>
      </c>
      <c r="D61" s="108">
        <v>29</v>
      </c>
      <c r="E61" s="108">
        <v>13</v>
      </c>
    </row>
    <row r="62" spans="1:5" x14ac:dyDescent="0.25">
      <c r="A62" s="107" t="s">
        <v>181</v>
      </c>
      <c r="B62" s="108">
        <f>139+41+18+6+6+9</f>
        <v>219</v>
      </c>
      <c r="C62" s="108">
        <v>3</v>
      </c>
      <c r="D62" s="108">
        <f>44+8+4+4+2+4</f>
        <v>66</v>
      </c>
      <c r="E62" s="108">
        <f>95+31+14+2+3+5</f>
        <v>150</v>
      </c>
    </row>
    <row r="63" spans="1:5" x14ac:dyDescent="0.25">
      <c r="A63" s="107" t="s">
        <v>180</v>
      </c>
      <c r="B63" s="108">
        <f>13+3+1</f>
        <v>17</v>
      </c>
      <c r="C63" s="108">
        <v>1</v>
      </c>
      <c r="D63" s="108">
        <v>13</v>
      </c>
      <c r="E63" s="108">
        <v>3</v>
      </c>
    </row>
    <row r="64" spans="1:5" x14ac:dyDescent="0.25">
      <c r="A64" s="101" t="s">
        <v>179</v>
      </c>
      <c r="B64" s="103">
        <f>41+11+2+6+1</f>
        <v>61</v>
      </c>
      <c r="C64" s="103">
        <v>2</v>
      </c>
      <c r="D64" s="103">
        <v>13</v>
      </c>
      <c r="E64" s="103">
        <f>31+7+2+6</f>
        <v>46</v>
      </c>
    </row>
    <row r="65" spans="1:5" x14ac:dyDescent="0.25">
      <c r="A65" s="101" t="s">
        <v>178</v>
      </c>
      <c r="B65" s="103">
        <f>46+40+9+1+1+8</f>
        <v>105</v>
      </c>
      <c r="C65" s="103">
        <v>4</v>
      </c>
      <c r="D65" s="103">
        <f>15+17+1+1+2</f>
        <v>36</v>
      </c>
      <c r="E65" s="103">
        <f>31+20+8+1+5</f>
        <v>65</v>
      </c>
    </row>
    <row r="66" spans="1:5" x14ac:dyDescent="0.25">
      <c r="A66" s="101" t="s">
        <v>177</v>
      </c>
      <c r="B66" s="103">
        <v>0</v>
      </c>
      <c r="C66" s="103">
        <v>0</v>
      </c>
      <c r="D66" s="103">
        <v>0</v>
      </c>
      <c r="E66" s="103">
        <v>0</v>
      </c>
    </row>
    <row r="67" spans="1:5" x14ac:dyDescent="0.25">
      <c r="A67" s="101" t="s">
        <v>176</v>
      </c>
      <c r="B67" s="103">
        <v>0</v>
      </c>
      <c r="C67" s="103">
        <v>0</v>
      </c>
      <c r="D67" s="103">
        <v>0</v>
      </c>
      <c r="E67" s="103">
        <v>0</v>
      </c>
    </row>
    <row r="68" spans="1:5" x14ac:dyDescent="0.25">
      <c r="A68" s="109" t="s">
        <v>175</v>
      </c>
      <c r="B68" s="109">
        <f>49+13+5+4+11+19</f>
        <v>101</v>
      </c>
      <c r="C68" s="109">
        <v>6</v>
      </c>
      <c r="D68" s="109">
        <f>39+7+2+9+8</f>
        <v>65</v>
      </c>
      <c r="E68" s="109">
        <f>8+6+4+1+2+9</f>
        <v>30</v>
      </c>
    </row>
    <row r="69" spans="1:5" x14ac:dyDescent="0.25">
      <c r="A69" s="109" t="s">
        <v>174</v>
      </c>
      <c r="B69" s="109">
        <f>156+54+18+7+6+9</f>
        <v>250</v>
      </c>
      <c r="C69" s="109">
        <f>5+1+1+3+2</f>
        <v>12</v>
      </c>
      <c r="D69" s="109">
        <f>53+20+9+4+3</f>
        <v>89</v>
      </c>
      <c r="E69" s="109">
        <f>98+34+8+2+3+4</f>
        <v>149</v>
      </c>
    </row>
    <row r="70" spans="1:5" x14ac:dyDescent="0.25">
      <c r="A70" s="109" t="s">
        <v>173</v>
      </c>
      <c r="B70" s="110">
        <v>202</v>
      </c>
      <c r="C70" s="109">
        <f>2+3+2+1+3+3</f>
        <v>14</v>
      </c>
      <c r="D70" s="109">
        <f>26+23+12+1+9+11</f>
        <v>82</v>
      </c>
      <c r="E70" s="109">
        <f>36+40+13+3+7+11</f>
        <v>110</v>
      </c>
    </row>
    <row r="71" spans="1:5" x14ac:dyDescent="0.25">
      <c r="A71" s="98" t="s">
        <v>172</v>
      </c>
      <c r="B71" s="100">
        <v>2510</v>
      </c>
      <c r="C71" s="99">
        <f>2+2+3+1+3+8</f>
        <v>19</v>
      </c>
      <c r="D71" s="100">
        <v>875</v>
      </c>
      <c r="E71" s="100">
        <f>322+234+256+246+285+273</f>
        <v>1616</v>
      </c>
    </row>
    <row r="72" spans="1:5" x14ac:dyDescent="0.25">
      <c r="A72" s="98" t="s">
        <v>171</v>
      </c>
      <c r="B72" s="100">
        <v>284</v>
      </c>
      <c r="C72" s="99">
        <f>1+1+3+2</f>
        <v>7</v>
      </c>
      <c r="D72" s="100">
        <f>11+34+14+7+18+34</f>
        <v>118</v>
      </c>
      <c r="E72" s="100">
        <v>159</v>
      </c>
    </row>
    <row r="73" spans="1:5" x14ac:dyDescent="0.25">
      <c r="A73" s="98" t="s">
        <v>170</v>
      </c>
      <c r="B73" s="99">
        <f>59+32+101+50+52</f>
        <v>294</v>
      </c>
      <c r="C73" s="99">
        <f>1+6+2+6</f>
        <v>15</v>
      </c>
      <c r="D73" s="99">
        <f>12+12+44+20+37</f>
        <v>125</v>
      </c>
      <c r="E73" s="99">
        <f>47+19+51+28+9</f>
        <v>154</v>
      </c>
    </row>
    <row r="74" spans="1:5" x14ac:dyDescent="0.25">
      <c r="A74" s="98" t="s">
        <v>169</v>
      </c>
      <c r="B74" s="99">
        <f>10+11+1+21+45</f>
        <v>88</v>
      </c>
      <c r="C74" s="99">
        <f>1+8</f>
        <v>9</v>
      </c>
      <c r="D74" s="99">
        <f>6+6+13+33</f>
        <v>58</v>
      </c>
      <c r="E74" s="99">
        <f>4+5+1+7+4</f>
        <v>21</v>
      </c>
    </row>
    <row r="75" spans="1:5" x14ac:dyDescent="0.25">
      <c r="A75" s="98" t="s">
        <v>168</v>
      </c>
      <c r="B75" s="99">
        <f>C75+D75+E75</f>
        <v>3</v>
      </c>
      <c r="C75" s="99">
        <v>1</v>
      </c>
      <c r="D75" s="99">
        <v>1</v>
      </c>
      <c r="E75" s="99">
        <v>1</v>
      </c>
    </row>
    <row r="76" spans="1:5" x14ac:dyDescent="0.25">
      <c r="A76" s="98" t="s">
        <v>167</v>
      </c>
      <c r="B76" s="99">
        <f>C76+D76+E76</f>
        <v>3</v>
      </c>
      <c r="C76" s="99">
        <v>0</v>
      </c>
      <c r="D76" s="99">
        <v>2</v>
      </c>
      <c r="E76" s="99">
        <v>1</v>
      </c>
    </row>
    <row r="77" spans="1:5" x14ac:dyDescent="0.25">
      <c r="A77" s="98" t="s">
        <v>166</v>
      </c>
      <c r="B77" s="99">
        <f>C77+D77+E77</f>
        <v>346</v>
      </c>
      <c r="C77" s="99">
        <f>1+1</f>
        <v>2</v>
      </c>
      <c r="D77" s="99">
        <f>25+27+21+21+14+45</f>
        <v>153</v>
      </c>
      <c r="E77" s="99">
        <f>28+30+34+23+33+43</f>
        <v>191</v>
      </c>
    </row>
    <row r="78" spans="1:5" x14ac:dyDescent="0.25">
      <c r="A78" s="98" t="s">
        <v>165</v>
      </c>
      <c r="B78" s="99">
        <f>91+85+88+0+80+80</f>
        <v>424</v>
      </c>
      <c r="C78" s="99">
        <f>7+9+10+3+18</f>
        <v>47</v>
      </c>
      <c r="D78" s="99">
        <f>45+47+40+55+58</f>
        <v>245</v>
      </c>
      <c r="E78" s="99">
        <f>39+29+38+22+4</f>
        <v>132</v>
      </c>
    </row>
    <row r="79" spans="1:5" x14ac:dyDescent="0.25">
      <c r="A79" s="98" t="s">
        <v>164</v>
      </c>
      <c r="B79" s="99">
        <f>C79+D79+E79</f>
        <v>0</v>
      </c>
      <c r="C79" s="99">
        <v>0</v>
      </c>
      <c r="D79" s="99">
        <v>0</v>
      </c>
      <c r="E79" s="99">
        <v>0</v>
      </c>
    </row>
    <row r="80" spans="1:5" x14ac:dyDescent="0.25">
      <c r="A80" s="98" t="s">
        <v>163</v>
      </c>
      <c r="B80" s="99">
        <f>88+43+56+52+60+74</f>
        <v>373</v>
      </c>
      <c r="C80" s="99">
        <f>0+0+0+1+2+0</f>
        <v>3</v>
      </c>
      <c r="D80" s="99">
        <f>26+10+22+23+16+36</f>
        <v>133</v>
      </c>
      <c r="E80" s="99">
        <f>62+33+34+28+42+38</f>
        <v>237</v>
      </c>
    </row>
    <row r="81" spans="1:5" x14ac:dyDescent="0.25">
      <c r="A81" s="98" t="s">
        <v>162</v>
      </c>
      <c r="B81" s="99">
        <f>74+69+69+64+47+48</f>
        <v>371</v>
      </c>
      <c r="C81" s="99">
        <v>0</v>
      </c>
      <c r="D81" s="99">
        <f>22+15+28+19+8+19</f>
        <v>111</v>
      </c>
      <c r="E81" s="99">
        <f>52+54+41+45+39+29</f>
        <v>260</v>
      </c>
    </row>
    <row r="82" spans="1:5" x14ac:dyDescent="0.25">
      <c r="A82" s="98" t="s">
        <v>161</v>
      </c>
      <c r="B82" s="99">
        <f>23+24+10+1+9</f>
        <v>67</v>
      </c>
      <c r="C82" s="99">
        <v>0</v>
      </c>
      <c r="D82" s="99">
        <f>1+1+2+3</f>
        <v>7</v>
      </c>
      <c r="E82" s="99">
        <f>22+23+8+1+6</f>
        <v>60</v>
      </c>
    </row>
    <row r="83" spans="1:5" x14ac:dyDescent="0.25">
      <c r="A83" s="98" t="s">
        <v>160</v>
      </c>
      <c r="B83" s="99">
        <f>C83+D83+E83</f>
        <v>5</v>
      </c>
      <c r="C83" s="99">
        <v>3</v>
      </c>
      <c r="D83" s="99">
        <v>1</v>
      </c>
      <c r="E83" s="99">
        <v>1</v>
      </c>
    </row>
    <row r="84" spans="1:5" x14ac:dyDescent="0.25">
      <c r="A84" s="98" t="s">
        <v>159</v>
      </c>
      <c r="B84" s="100">
        <f>54+68+63+59+86+73</f>
        <v>403</v>
      </c>
      <c r="C84" s="100">
        <f>2+2+2</f>
        <v>6</v>
      </c>
      <c r="D84" s="99">
        <f>14+21+24+19+16+33</f>
        <v>127</v>
      </c>
      <c r="E84" s="99">
        <f>40+47+37+38+70+38</f>
        <v>270</v>
      </c>
    </row>
    <row r="85" spans="1:5" x14ac:dyDescent="0.25">
      <c r="A85" s="98" t="s">
        <v>158</v>
      </c>
      <c r="B85" s="99">
        <f>C85+D85+E85</f>
        <v>0</v>
      </c>
      <c r="C85" s="99">
        <v>0</v>
      </c>
      <c r="D85" s="99">
        <v>0</v>
      </c>
      <c r="E85" s="99">
        <v>0</v>
      </c>
    </row>
    <row r="86" spans="1:5" x14ac:dyDescent="0.25">
      <c r="A86" s="101" t="s">
        <v>157</v>
      </c>
      <c r="B86" s="99">
        <f>52+77+65+54+12+49</f>
        <v>309</v>
      </c>
      <c r="C86" s="111">
        <f>11+5+5+4+3</f>
        <v>28</v>
      </c>
      <c r="D86" s="111">
        <f>34+60+44+30+7+25</f>
        <v>200</v>
      </c>
      <c r="E86" s="111">
        <f>7+12+16+20+5+21</f>
        <v>81</v>
      </c>
    </row>
    <row r="87" spans="1:5" x14ac:dyDescent="0.25">
      <c r="A87" s="101" t="s">
        <v>156</v>
      </c>
      <c r="B87" s="99">
        <f>14+11+21+11+7+5</f>
        <v>69</v>
      </c>
      <c r="C87" s="111">
        <v>0</v>
      </c>
      <c r="D87" s="111">
        <f>2+2+4+3+2+1</f>
        <v>14</v>
      </c>
      <c r="E87" s="111">
        <f>12+9+17+8+5+4</f>
        <v>55</v>
      </c>
    </row>
    <row r="88" spans="1:5" x14ac:dyDescent="0.25">
      <c r="A88" s="101" t="s">
        <v>155</v>
      </c>
      <c r="B88" s="99">
        <f>34+21+20+10+4+14</f>
        <v>103</v>
      </c>
      <c r="C88" s="111">
        <v>5</v>
      </c>
      <c r="D88" s="111">
        <v>14</v>
      </c>
      <c r="E88" s="111">
        <f>27+21+19+5+2+10</f>
        <v>84</v>
      </c>
    </row>
    <row r="89" spans="1:5" x14ac:dyDescent="0.25">
      <c r="A89" s="101" t="s">
        <v>154</v>
      </c>
      <c r="B89" s="99">
        <f>73+28+47+71+50</f>
        <v>269</v>
      </c>
      <c r="C89" s="111">
        <v>18</v>
      </c>
      <c r="D89" s="111">
        <f>19+11+25+45+24</f>
        <v>124</v>
      </c>
      <c r="E89" s="111">
        <f>54+16+20+13+24</f>
        <v>127</v>
      </c>
    </row>
    <row r="90" spans="1:5" x14ac:dyDescent="0.25">
      <c r="A90" s="98" t="s">
        <v>153</v>
      </c>
      <c r="B90" s="99">
        <f>90+111+121+156+100+152</f>
        <v>730</v>
      </c>
      <c r="C90" s="99">
        <f>6+5+14+33+2+29</f>
        <v>89</v>
      </c>
      <c r="D90" s="99">
        <f>51+48+63+58+36+70</f>
        <v>326</v>
      </c>
      <c r="E90" s="99">
        <f>33+58+44+65+62+53</f>
        <v>315</v>
      </c>
    </row>
    <row r="91" spans="1:5" x14ac:dyDescent="0.25">
      <c r="A91" s="101" t="s">
        <v>152</v>
      </c>
      <c r="B91" s="99">
        <f>76+49+91+13+3+3</f>
        <v>235</v>
      </c>
      <c r="C91" s="111">
        <v>15</v>
      </c>
      <c r="D91" s="111">
        <f>61+27+51+6+1+1</f>
        <v>147</v>
      </c>
      <c r="E91" s="111">
        <f>5+21+36+7+2+2</f>
        <v>73</v>
      </c>
    </row>
    <row r="92" spans="1:5" x14ac:dyDescent="0.25">
      <c r="A92" s="101" t="s">
        <v>151</v>
      </c>
      <c r="B92" s="99">
        <v>34</v>
      </c>
      <c r="C92" s="111">
        <v>0</v>
      </c>
      <c r="D92" s="111">
        <v>0</v>
      </c>
      <c r="E92" s="111">
        <v>34</v>
      </c>
    </row>
    <row r="93" spans="1:5" x14ac:dyDescent="0.25">
      <c r="A93" s="98" t="s">
        <v>150</v>
      </c>
      <c r="B93" s="99">
        <f>114+137+82+26+15+9</f>
        <v>383</v>
      </c>
      <c r="C93" s="100">
        <f>18+12+4+1</f>
        <v>35</v>
      </c>
      <c r="D93" s="100">
        <f>56+73+32+11+3+6</f>
        <v>181</v>
      </c>
      <c r="E93" s="99">
        <f>40+52+46+15+11+3</f>
        <v>167</v>
      </c>
    </row>
    <row r="94" spans="1:5" x14ac:dyDescent="0.25">
      <c r="A94" s="101" t="s">
        <v>149</v>
      </c>
      <c r="B94" s="99">
        <f>1+11+44+20+15+11</f>
        <v>102</v>
      </c>
      <c r="C94" s="111">
        <v>0</v>
      </c>
      <c r="D94" s="111">
        <f>1+7+18+8+1+2</f>
        <v>37</v>
      </c>
      <c r="E94" s="111">
        <v>65</v>
      </c>
    </row>
    <row r="95" spans="1:5" x14ac:dyDescent="0.25">
      <c r="A95" s="101" t="s">
        <v>148</v>
      </c>
      <c r="B95" s="99">
        <v>30</v>
      </c>
      <c r="C95" s="111">
        <v>0</v>
      </c>
      <c r="D95" s="111">
        <v>0</v>
      </c>
      <c r="E95" s="111">
        <v>30</v>
      </c>
    </row>
    <row r="96" spans="1:5" x14ac:dyDescent="0.25">
      <c r="A96" s="98" t="s">
        <v>147</v>
      </c>
      <c r="B96" s="99">
        <f>81+12+5+6+1</f>
        <v>105</v>
      </c>
      <c r="C96" s="99">
        <v>0</v>
      </c>
      <c r="D96" s="99">
        <v>13</v>
      </c>
      <c r="E96" s="99">
        <f>70+10+5+6+1</f>
        <v>92</v>
      </c>
    </row>
    <row r="97" spans="1:5" x14ac:dyDescent="0.25">
      <c r="A97" s="101" t="s">
        <v>146</v>
      </c>
      <c r="B97" s="99">
        <f>12+27+53+27+2+5</f>
        <v>126</v>
      </c>
      <c r="C97" s="111">
        <v>0</v>
      </c>
      <c r="D97" s="111">
        <f>1+11+9+4+1+2</f>
        <v>28</v>
      </c>
      <c r="E97" s="111">
        <f>11+16+44+23+1+3</f>
        <v>98</v>
      </c>
    </row>
    <row r="98" spans="1:5" x14ac:dyDescent="0.25">
      <c r="A98" s="101" t="s">
        <v>145</v>
      </c>
      <c r="B98" s="99">
        <v>9</v>
      </c>
      <c r="C98" s="111">
        <v>0</v>
      </c>
      <c r="D98" s="111">
        <v>1</v>
      </c>
      <c r="E98" s="111">
        <v>8</v>
      </c>
    </row>
    <row r="99" spans="1:5" x14ac:dyDescent="0.25">
      <c r="A99" s="101" t="s">
        <v>144</v>
      </c>
      <c r="B99" s="99">
        <f>1+6+35+41+9+22</f>
        <v>114</v>
      </c>
      <c r="C99" s="99">
        <v>5</v>
      </c>
      <c r="D99" s="99">
        <f>1+3+9+13+2+7</f>
        <v>35</v>
      </c>
      <c r="E99" s="99">
        <f>3+24+26+7+14</f>
        <v>74</v>
      </c>
    </row>
    <row r="100" spans="1:5" x14ac:dyDescent="0.25">
      <c r="A100" s="101" t="s">
        <v>143</v>
      </c>
      <c r="B100" s="99">
        <f>32+14+33+9+26+69</f>
        <v>183</v>
      </c>
      <c r="C100" s="111">
        <f>5+2+13+2+1+4</f>
        <v>27</v>
      </c>
      <c r="D100" s="111">
        <f>18+8+12+4+10+31</f>
        <v>83</v>
      </c>
      <c r="E100" s="111">
        <f>9+4+8+3+15+34</f>
        <v>73</v>
      </c>
    </row>
    <row r="101" spans="1:5" x14ac:dyDescent="0.25">
      <c r="A101" s="101" t="s">
        <v>142</v>
      </c>
      <c r="B101" s="99">
        <f>33+18+20+8+2+2</f>
        <v>83</v>
      </c>
      <c r="C101" s="111">
        <f>3+1+2</f>
        <v>6</v>
      </c>
      <c r="D101" s="111">
        <f>18+12+11+1+1</f>
        <v>43</v>
      </c>
      <c r="E101" s="111">
        <f>12+5+7+7+2+1</f>
        <v>34</v>
      </c>
    </row>
    <row r="102" spans="1:5" x14ac:dyDescent="0.25">
      <c r="A102" s="101" t="s">
        <v>141</v>
      </c>
      <c r="B102" s="99">
        <f>9+14+6+9+3+6</f>
        <v>47</v>
      </c>
      <c r="C102" s="99">
        <v>0</v>
      </c>
      <c r="D102" s="99">
        <f>1+2+2+3+1</f>
        <v>9</v>
      </c>
      <c r="E102" s="99">
        <f>8+12+4+6+3+5</f>
        <v>38</v>
      </c>
    </row>
    <row r="103" spans="1:5" x14ac:dyDescent="0.25">
      <c r="A103" s="112" t="s">
        <v>140</v>
      </c>
      <c r="B103" s="113">
        <f>SUM(B8:B102)</f>
        <v>21224</v>
      </c>
      <c r="C103" s="113">
        <f>SUM(C8:C102)</f>
        <v>1681</v>
      </c>
      <c r="D103" s="113">
        <f>SUM(D8:D102)</f>
        <v>9159</v>
      </c>
      <c r="E103" s="113">
        <f>SUM(E8:E102)</f>
        <v>10388</v>
      </c>
    </row>
    <row r="104" spans="1:5" x14ac:dyDescent="0.25">
      <c r="A104" s="95" t="s">
        <v>139</v>
      </c>
    </row>
    <row r="105" spans="1:5" x14ac:dyDescent="0.25">
      <c r="A105" s="95" t="s">
        <v>138</v>
      </c>
    </row>
    <row r="106" spans="1:5" x14ac:dyDescent="0.25">
      <c r="A106" s="95" t="s">
        <v>137</v>
      </c>
    </row>
    <row r="107" spans="1:5" x14ac:dyDescent="0.25">
      <c r="A107" s="95" t="s">
        <v>136</v>
      </c>
    </row>
    <row r="108" spans="1:5" x14ac:dyDescent="0.25">
      <c r="A108" s="95" t="s">
        <v>135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zoomScale="90" zoomScaleNormal="90" workbookViewId="0">
      <selection activeCell="G6" sqref="G6"/>
    </sheetView>
  </sheetViews>
  <sheetFormatPr baseColWidth="10" defaultRowHeight="12.75" x14ac:dyDescent="0.2"/>
  <cols>
    <col min="1" max="1" width="8.28515625" customWidth="1"/>
    <col min="2" max="2" width="21.5703125" customWidth="1"/>
    <col min="3" max="3" width="20.7109375" customWidth="1"/>
    <col min="4" max="4" width="22.28515625" customWidth="1"/>
    <col min="5" max="5" width="18.5703125" customWidth="1"/>
    <col min="6" max="6" width="18.140625" customWidth="1"/>
    <col min="7" max="7" width="19" customWidth="1"/>
    <col min="8" max="8" width="18" customWidth="1"/>
    <col min="9" max="9" width="20" customWidth="1"/>
    <col min="10" max="10" width="18.42578125" customWidth="1"/>
    <col min="11" max="12" width="15.7109375" customWidth="1"/>
  </cols>
  <sheetData>
    <row r="1" spans="1:12" x14ac:dyDescent="0.2">
      <c r="A1" s="181" t="s">
        <v>283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ht="69" customHeight="1" x14ac:dyDescent="0.2">
      <c r="A2" s="122" t="s">
        <v>259</v>
      </c>
      <c r="B2" s="122" t="s">
        <v>284</v>
      </c>
      <c r="C2" s="122" t="s">
        <v>261</v>
      </c>
      <c r="D2" s="122" t="s">
        <v>262</v>
      </c>
      <c r="E2" s="122" t="s">
        <v>263</v>
      </c>
      <c r="F2" s="122" t="s">
        <v>264</v>
      </c>
      <c r="G2" s="122" t="s">
        <v>265</v>
      </c>
      <c r="H2" s="122" t="s">
        <v>266</v>
      </c>
      <c r="I2" s="122" t="s">
        <v>267</v>
      </c>
      <c r="J2" s="122" t="s">
        <v>268</v>
      </c>
      <c r="K2" s="122" t="s">
        <v>269</v>
      </c>
      <c r="L2" s="122" t="s">
        <v>270</v>
      </c>
    </row>
    <row r="3" spans="1:12" ht="96.75" customHeight="1" x14ac:dyDescent="0.2">
      <c r="A3" s="124">
        <v>1</v>
      </c>
      <c r="B3" s="135" t="s">
        <v>285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</row>
    <row r="4" spans="1:12" ht="131.25" customHeight="1" x14ac:dyDescent="0.2">
      <c r="A4" s="124">
        <v>2</v>
      </c>
      <c r="B4" s="135" t="s">
        <v>286</v>
      </c>
      <c r="C4" s="135" t="s">
        <v>287</v>
      </c>
      <c r="D4" s="136"/>
      <c r="E4" s="136"/>
      <c r="F4" s="136"/>
      <c r="G4" s="136"/>
      <c r="H4" s="135" t="s">
        <v>288</v>
      </c>
      <c r="I4" s="136"/>
      <c r="J4" s="136"/>
      <c r="K4" s="136"/>
      <c r="L4" s="136"/>
    </row>
    <row r="5" spans="1:12" ht="121.5" customHeight="1" x14ac:dyDescent="0.2">
      <c r="A5" s="124">
        <v>3</v>
      </c>
      <c r="B5" s="135"/>
      <c r="C5" s="135" t="s">
        <v>289</v>
      </c>
      <c r="D5" s="135" t="s">
        <v>290</v>
      </c>
      <c r="E5" s="136"/>
      <c r="F5" s="136"/>
      <c r="G5" s="136"/>
      <c r="H5" s="136"/>
      <c r="I5" s="135" t="s">
        <v>291</v>
      </c>
      <c r="J5" s="136"/>
      <c r="K5" s="136"/>
      <c r="L5" s="136"/>
    </row>
    <row r="6" spans="1:12" ht="131.25" customHeight="1" x14ac:dyDescent="0.2">
      <c r="A6" s="124">
        <v>4</v>
      </c>
      <c r="B6" s="136"/>
      <c r="C6" s="136"/>
      <c r="D6" s="135" t="s">
        <v>292</v>
      </c>
      <c r="E6" s="135" t="s">
        <v>293</v>
      </c>
      <c r="F6" s="136"/>
      <c r="G6" s="136"/>
      <c r="H6" s="136"/>
      <c r="I6" s="136"/>
      <c r="J6" s="135" t="s">
        <v>294</v>
      </c>
      <c r="K6" s="135" t="s">
        <v>295</v>
      </c>
      <c r="L6" s="135" t="s">
        <v>296</v>
      </c>
    </row>
    <row r="7" spans="1:12" ht="133.5" customHeight="1" x14ac:dyDescent="0.2">
      <c r="A7" s="124">
        <v>5</v>
      </c>
      <c r="B7" s="136"/>
      <c r="C7" s="136"/>
      <c r="D7" s="136"/>
      <c r="E7" s="136"/>
      <c r="F7" s="135" t="s">
        <v>297</v>
      </c>
      <c r="G7" s="136"/>
      <c r="H7" s="136"/>
      <c r="I7" s="136"/>
      <c r="J7" s="136"/>
      <c r="K7" s="135" t="s">
        <v>298</v>
      </c>
      <c r="L7" s="136"/>
    </row>
    <row r="8" spans="1:12" ht="183" customHeight="1" x14ac:dyDescent="0.2">
      <c r="A8" s="124">
        <v>6</v>
      </c>
      <c r="B8" s="136"/>
      <c r="C8" s="136"/>
      <c r="D8" s="136"/>
      <c r="E8" s="136"/>
      <c r="F8" s="136"/>
      <c r="G8" s="135" t="s">
        <v>299</v>
      </c>
      <c r="H8" s="136"/>
      <c r="I8" s="136"/>
      <c r="J8" s="136"/>
      <c r="K8" s="136"/>
      <c r="L8" s="136"/>
    </row>
  </sheetData>
  <mergeCells count="1"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D1" zoomScaleNormal="100" workbookViewId="0">
      <selection activeCell="K3" sqref="K3"/>
    </sheetView>
  </sheetViews>
  <sheetFormatPr baseColWidth="10" defaultRowHeight="12.75" x14ac:dyDescent="0.2"/>
  <cols>
    <col min="1" max="1" width="8.28515625" customWidth="1"/>
    <col min="2" max="2" width="19.5703125" customWidth="1"/>
    <col min="3" max="12" width="15.7109375" customWidth="1"/>
    <col min="13" max="13" width="0.140625" customWidth="1"/>
  </cols>
  <sheetData>
    <row r="1" spans="1:13" x14ac:dyDescent="0.2">
      <c r="A1" s="183" t="s">
        <v>258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ht="62.25" customHeight="1" x14ac:dyDescent="0.2">
      <c r="A2" s="122" t="s">
        <v>259</v>
      </c>
      <c r="B2" s="122" t="s">
        <v>260</v>
      </c>
      <c r="C2" s="122" t="s">
        <v>261</v>
      </c>
      <c r="D2" s="122" t="s">
        <v>262</v>
      </c>
      <c r="E2" s="122" t="s">
        <v>263</v>
      </c>
      <c r="F2" s="122" t="s">
        <v>264</v>
      </c>
      <c r="G2" s="122" t="s">
        <v>265</v>
      </c>
      <c r="H2" s="122" t="s">
        <v>266</v>
      </c>
      <c r="I2" s="122" t="s">
        <v>267</v>
      </c>
      <c r="J2" s="122" t="s">
        <v>268</v>
      </c>
      <c r="K2" s="122" t="s">
        <v>269</v>
      </c>
      <c r="L2" s="122" t="s">
        <v>270</v>
      </c>
      <c r="M2" s="123" t="s">
        <v>271</v>
      </c>
    </row>
    <row r="3" spans="1:13" ht="174" customHeight="1" x14ac:dyDescent="0.2">
      <c r="A3" s="124">
        <v>1</v>
      </c>
      <c r="B3" s="125" t="s">
        <v>272</v>
      </c>
      <c r="C3" s="125"/>
      <c r="D3" s="125"/>
      <c r="E3" s="125"/>
      <c r="F3" s="125"/>
      <c r="G3" s="125"/>
      <c r="H3" s="125" t="s">
        <v>273</v>
      </c>
      <c r="I3" s="125"/>
      <c r="J3" s="125"/>
      <c r="K3" s="125" t="s">
        <v>302</v>
      </c>
      <c r="L3" s="125" t="s">
        <v>301</v>
      </c>
      <c r="M3" s="126"/>
    </row>
    <row r="4" spans="1:13" ht="132.75" customHeight="1" x14ac:dyDescent="0.2">
      <c r="A4" s="124">
        <v>2</v>
      </c>
      <c r="B4" s="125" t="s">
        <v>274</v>
      </c>
      <c r="C4" s="125" t="s">
        <v>275</v>
      </c>
      <c r="D4" s="125"/>
      <c r="E4" s="125"/>
      <c r="F4" s="125"/>
      <c r="G4" s="125"/>
      <c r="H4" s="125"/>
      <c r="I4" s="125" t="s">
        <v>276</v>
      </c>
      <c r="J4" s="125"/>
      <c r="K4" s="125"/>
      <c r="L4" s="125" t="s">
        <v>300</v>
      </c>
      <c r="M4" s="126"/>
    </row>
    <row r="5" spans="1:13" ht="68.25" customHeight="1" x14ac:dyDescent="0.2">
      <c r="A5" s="124">
        <v>3</v>
      </c>
      <c r="B5" s="125"/>
      <c r="C5" s="125"/>
      <c r="D5" s="125" t="s">
        <v>277</v>
      </c>
      <c r="E5" s="125"/>
      <c r="F5" s="125"/>
      <c r="G5" s="125"/>
      <c r="H5" s="125"/>
      <c r="I5" s="125"/>
      <c r="J5" s="125"/>
      <c r="K5" s="125"/>
      <c r="L5" s="125"/>
      <c r="M5" s="126"/>
    </row>
    <row r="6" spans="1:13" ht="81.75" customHeight="1" x14ac:dyDescent="0.2">
      <c r="A6" s="124">
        <v>4</v>
      </c>
      <c r="B6" s="125"/>
      <c r="C6" s="125"/>
      <c r="D6" s="125" t="s">
        <v>278</v>
      </c>
      <c r="E6" s="127" t="s">
        <v>279</v>
      </c>
      <c r="F6" s="128"/>
      <c r="G6" s="125"/>
      <c r="H6" s="125"/>
      <c r="I6" s="125"/>
      <c r="J6" s="125"/>
      <c r="K6" s="125"/>
      <c r="L6" s="125"/>
      <c r="M6" s="126"/>
    </row>
    <row r="7" spans="1:13" ht="157.5" x14ac:dyDescent="0.2">
      <c r="A7" s="124">
        <v>5</v>
      </c>
      <c r="B7" s="125"/>
      <c r="C7" s="125"/>
      <c r="D7" s="125"/>
      <c r="E7" s="129"/>
      <c r="F7" s="130" t="s">
        <v>280</v>
      </c>
      <c r="G7" s="131"/>
      <c r="H7" s="125"/>
      <c r="I7" s="125"/>
      <c r="J7" s="128"/>
      <c r="K7" s="125"/>
      <c r="L7" s="125"/>
      <c r="M7" s="126"/>
    </row>
    <row r="8" spans="1:13" ht="130.5" customHeight="1" x14ac:dyDescent="0.2">
      <c r="A8" s="124">
        <v>6</v>
      </c>
      <c r="B8" s="125"/>
      <c r="C8" s="125"/>
      <c r="D8" s="125"/>
      <c r="E8" s="127"/>
      <c r="F8" s="132"/>
      <c r="G8" s="130" t="s">
        <v>281</v>
      </c>
      <c r="H8" s="133"/>
      <c r="I8" s="134"/>
      <c r="J8" s="130" t="s">
        <v>282</v>
      </c>
      <c r="K8" s="133"/>
      <c r="L8" s="125"/>
      <c r="M8" s="126"/>
    </row>
    <row r="15" spans="1:13" x14ac:dyDescent="0.2">
      <c r="H15" s="137"/>
      <c r="I15" s="137"/>
      <c r="J15" s="137"/>
    </row>
    <row r="16" spans="1:13" x14ac:dyDescent="0.2">
      <c r="H16" s="137"/>
      <c r="I16" s="137"/>
      <c r="J16" s="137"/>
    </row>
    <row r="17" spans="8:10" x14ac:dyDescent="0.2">
      <c r="H17" s="137"/>
      <c r="I17" s="137"/>
      <c r="J17" s="137"/>
    </row>
    <row r="18" spans="8:10" x14ac:dyDescent="0.2">
      <c r="H18" s="137"/>
      <c r="I18" s="137"/>
      <c r="J18" s="137"/>
    </row>
  </sheetData>
  <mergeCells count="1">
    <mergeCell ref="A1:M1"/>
  </mergeCells>
  <printOptions horizontalCentered="1"/>
  <pageMargins left="0.70866141732283472" right="0.70866141732283472" top="0.74803149606299213" bottom="0.74803149606299213" header="0.31496062992125984" footer="0.31496062992125984"/>
  <pageSetup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9</vt:i4>
      </vt:variant>
    </vt:vector>
  </HeadingPairs>
  <TitlesOfParts>
    <vt:vector size="17" baseType="lpstr">
      <vt:lpstr>Análisis de la pertinencia</vt:lpstr>
      <vt:lpstr>Analisis de los PE de posgrado</vt:lpstr>
      <vt:lpstr>Coopn académica (movilidad)</vt:lpstr>
      <vt:lpstr>Prpales Acciones de Vinculación</vt:lpstr>
      <vt:lpstr>Recom_CIEES-COPAES</vt:lpstr>
      <vt:lpstr>Resultados del EGEL</vt:lpstr>
      <vt:lpstr>Principales fortalezas</vt:lpstr>
      <vt:lpstr>Principales problemas</vt:lpstr>
      <vt:lpstr>'Análisis de la pertinencia'!Área_de_impresión</vt:lpstr>
      <vt:lpstr>'Analisis de los PE de posgrado'!Área_de_impresión</vt:lpstr>
      <vt:lpstr>'Coopn académica (movilidad)'!Área_de_impresión</vt:lpstr>
      <vt:lpstr>'Principales problemas'!Área_de_impresión</vt:lpstr>
      <vt:lpstr>'Recom_CIEES-COPAES'!Área_de_impresión</vt:lpstr>
      <vt:lpstr>'Resultados del EGEL'!Área_de_impresión</vt:lpstr>
      <vt:lpstr>'Análisis de la pertinencia'!Títulos_a_imprimir</vt:lpstr>
      <vt:lpstr>'Analisis de los PE de posgrado'!Títulos_a_imprimir</vt:lpstr>
      <vt:lpstr>'Resultados del EGEL'!Títulos_a_imprimir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</dc:creator>
  <cp:lastModifiedBy>Rosenkranz Saenz Maria Karin</cp:lastModifiedBy>
  <cp:lastPrinted>2012-04-18T22:50:09Z</cp:lastPrinted>
  <dcterms:created xsi:type="dcterms:W3CDTF">2009-11-12T23:55:00Z</dcterms:created>
  <dcterms:modified xsi:type="dcterms:W3CDTF">2012-04-18T23:22:12Z</dcterms:modified>
</cp:coreProperties>
</file>